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3920" tabRatio="601" firstSheet="2" activeTab="2"/>
  </bookViews>
  <sheets>
    <sheet name="Расчет к метод" sheetId="1" state="hidden" r:id="rId1"/>
    <sheet name="Лист1" sheetId="2" state="hidden" r:id="rId2"/>
    <sheet name="ИМБТ на з.плату 2 ая часть" sheetId="3" r:id="rId3"/>
    <sheet name="показатели с оценки" sheetId="4" r:id="rId4"/>
    <sheet name="рапределение" sheetId="5" r:id="rId5"/>
    <sheet name="РАСЧЕТ" sheetId="6" state="hidden" r:id="rId6"/>
    <sheet name="ЧЕРНОВИК" sheetId="7" state="hidden" r:id="rId7"/>
  </sheets>
  <definedNames>
    <definedName name="Z_0392714E_6A21_40FF_818B_F0EA7A2759F3_.wvu.Cols" localSheetId="5" hidden="1">'РАСЧЕТ'!$HZ:$IB</definedName>
    <definedName name="Z_0392714E_6A21_40FF_818B_F0EA7A2759F3_.wvu.Cols" localSheetId="0" hidden="1">'Расчет к метод'!$D:$E,'Расчет к метод'!$I:$I,'Расчет к метод'!$P:$Q,'Расчет к метод'!$HQ:$HS</definedName>
    <definedName name="Z_0392714E_6A21_40FF_818B_F0EA7A2759F3_.wvu.Cols" localSheetId="6" hidden="1">'ЧЕРНОВИК'!$J:$K,'ЧЕРНОВИК'!$Q:$S,'ЧЕРНОВИК'!$U:$V,'ЧЕРНОВИК'!$IS:$IU</definedName>
    <definedName name="Z_0392714E_6A21_40FF_818B_F0EA7A2759F3_.wvu.PrintArea" localSheetId="6" hidden="1">'ЧЕРНОВИК'!$A$1:$AK$41</definedName>
    <definedName name="Z_0392714E_6A21_40FF_818B_F0EA7A2759F3_.wvu.PrintTitles" localSheetId="6" hidden="1">'ЧЕРНОВИК'!$7:$7</definedName>
    <definedName name="Z_0F673686_8CF9_4B9A_8F5C_D7F95F87B9FB_.wvu.Cols" localSheetId="5" hidden="1">'РАСЧЕТ'!$HZ:$IB</definedName>
    <definedName name="Z_0F673686_8CF9_4B9A_8F5C_D7F95F87B9FB_.wvu.Cols" localSheetId="0" hidden="1">'Расчет к метод'!$D:$E,'Расчет к метод'!$I:$I,'Расчет к метод'!$P:$Q,'Расчет к метод'!$HQ:$HS</definedName>
    <definedName name="Z_0F673686_8CF9_4B9A_8F5C_D7F95F87B9FB_.wvu.Cols" localSheetId="6" hidden="1">'ЧЕРНОВИК'!$J:$K,'ЧЕРНОВИК'!$Q:$S,'ЧЕРНОВИК'!$U:$V,'ЧЕРНОВИК'!$IS:$IU</definedName>
    <definedName name="Z_0F673686_8CF9_4B9A_8F5C_D7F95F87B9FB_.wvu.PrintArea" localSheetId="6" hidden="1">'ЧЕРНОВИК'!$A$1:$AK$41</definedName>
    <definedName name="Z_0F673686_8CF9_4B9A_8F5C_D7F95F87B9FB_.wvu.PrintTitles" localSheetId="6" hidden="1">'ЧЕРНОВИК'!$7:$7</definedName>
    <definedName name="Z_95DBC29B_3B17_49A0_84AC_E362F89CBC98_.wvu.Cols" localSheetId="5" hidden="1">'РАСЧЕТ'!$HZ:$IB</definedName>
    <definedName name="Z_95DBC29B_3B17_49A0_84AC_E362F89CBC98_.wvu.Cols" localSheetId="0" hidden="1">'Расчет к метод'!$D:$E,'Расчет к метод'!$I:$I,'Расчет к метод'!$P:$Q,'Расчет к метод'!$HQ:$HS</definedName>
    <definedName name="Z_95DBC29B_3B17_49A0_84AC_E362F89CBC98_.wvu.Cols" localSheetId="6" hidden="1">'ЧЕРНОВИК'!$J:$K,'ЧЕРНОВИК'!$Q:$S,'ЧЕРНОВИК'!$U:$V,'ЧЕРНОВИК'!$IS:$IU</definedName>
    <definedName name="Z_95DBC29B_3B17_49A0_84AC_E362F89CBC98_.wvu.PrintArea" localSheetId="6" hidden="1">'ЧЕРНОВИК'!$A$1:$AK$41</definedName>
    <definedName name="Z_95DBC29B_3B17_49A0_84AC_E362F89CBC98_.wvu.PrintTitles" localSheetId="6" hidden="1">'ЧЕРНОВИК'!$7:$7</definedName>
    <definedName name="Z_97F71DBC_844B_4833_A14B_28E027CBBCED_.wvu.Cols" localSheetId="5" hidden="1">'РАСЧЕТ'!$HZ:$IB</definedName>
    <definedName name="Z_97F71DBC_844B_4833_A14B_28E027CBBCED_.wvu.Cols" localSheetId="0" hidden="1">'Расчет к метод'!$D:$E,'Расчет к метод'!$I:$I,'Расчет к метод'!$P:$Q,'Расчет к метод'!$HQ:$HS</definedName>
    <definedName name="Z_97F71DBC_844B_4833_A14B_28E027CBBCED_.wvu.Cols" localSheetId="6" hidden="1">'ЧЕРНОВИК'!$J:$K,'ЧЕРНОВИК'!$Q:$S,'ЧЕРНОВИК'!$U:$V,'ЧЕРНОВИК'!$IS:$IU</definedName>
    <definedName name="Z_97F71DBC_844B_4833_A14B_28E027CBBCED_.wvu.PrintArea" localSheetId="6" hidden="1">'ЧЕРНОВИК'!$A$1:$AK$41</definedName>
    <definedName name="Z_97F71DBC_844B_4833_A14B_28E027CBBCED_.wvu.PrintTitles" localSheetId="6" hidden="1">'ЧЕРНОВИК'!$7:$7</definedName>
    <definedName name="_xlnm.Print_Titles" localSheetId="2">'ИМБТ на з.плату 2 ая часть'!$A:$B</definedName>
    <definedName name="_xlnm.Print_Titles" localSheetId="6">'ЧЕРНОВИК'!$7:$7</definedName>
    <definedName name="_xlnm.Print_Area" localSheetId="2">'ИМБТ на з.плату 2 ая часть'!$A$1:$M$29</definedName>
    <definedName name="_xlnm.Print_Area" localSheetId="6">'ЧЕРНОВИК'!$A$1:$AK$41</definedName>
  </definedNames>
  <calcPr fullCalcOnLoad="1"/>
</workbook>
</file>

<file path=xl/sharedStrings.xml><?xml version="1.0" encoding="utf-8"?>
<sst xmlns="http://schemas.openxmlformats.org/spreadsheetml/2006/main" count="430" uniqueCount="250">
  <si>
    <t>тыс. рублей</t>
  </si>
  <si>
    <t>Группа дотационности на 2014 год</t>
  </si>
  <si>
    <t>Поселения</t>
  </si>
  <si>
    <t>2013 год</t>
  </si>
  <si>
    <t>2014 год</t>
  </si>
  <si>
    <t>2-я часть
дотации (без 1 и 2 гр.дот-ти)</t>
  </si>
  <si>
    <t>Остатки нецелевых средств на  начало 2013 года</t>
  </si>
  <si>
    <t>Субсидии на ЗП</t>
  </si>
  <si>
    <t>Остатки нецелевых средств на  конец 2013 года</t>
  </si>
  <si>
    <t>Остатки нецелевых средств на  начало 2014 года</t>
  </si>
  <si>
    <t>оценка ННД без акцизов на Н/П</t>
  </si>
  <si>
    <t xml:space="preserve">Субсидии на ЗП </t>
  </si>
  <si>
    <t>Владимирское с.п.</t>
  </si>
  <si>
    <t>Азейское с.п.</t>
  </si>
  <si>
    <t>Алгатуйское с.п.</t>
  </si>
  <si>
    <t>Аршанское с.п.</t>
  </si>
  <si>
    <t>Афанасьевское с.п.</t>
  </si>
  <si>
    <t>Будаговское с.п.</t>
  </si>
  <si>
    <t>Бурхунское с.п.</t>
  </si>
  <si>
    <t>Гадалейское с.п.</t>
  </si>
  <si>
    <t>Гуранское с.п.</t>
  </si>
  <si>
    <t>Евдокимовское с.п.</t>
  </si>
  <si>
    <t>Едогонское с.п.</t>
  </si>
  <si>
    <t>Икейское с.п.</t>
  </si>
  <si>
    <t>Ишидейское с.п.</t>
  </si>
  <si>
    <t>Кирейское с.п.</t>
  </si>
  <si>
    <t>Котикское с.п.</t>
  </si>
  <si>
    <t>Мугунское с.п.</t>
  </si>
  <si>
    <t>Нижнебурбукское с.п.</t>
  </si>
  <si>
    <t>Октябрьское с.п.</t>
  </si>
  <si>
    <t>Перфиловское с.п.</t>
  </si>
  <si>
    <t>Писаревское с.п.</t>
  </si>
  <si>
    <t>Сибирякское с.п.</t>
  </si>
  <si>
    <t>Умыганское с.п.</t>
  </si>
  <si>
    <t>Усть-Кульское с.п.</t>
  </si>
  <si>
    <t>Шерагульское с.п.</t>
  </si>
  <si>
    <r>
      <t xml:space="preserve">Дотации </t>
    </r>
    <r>
      <rPr>
        <i/>
        <u val="single"/>
        <sz val="10"/>
        <rFont val="Times New Roman"/>
        <family val="1"/>
      </rPr>
      <t>из ОБ и района</t>
    </r>
  </si>
  <si>
    <t>3=4+5+6+7-8</t>
  </si>
  <si>
    <t>9=10+11+12+13</t>
  </si>
  <si>
    <t>15=14*25%(без  1 и 2 гр. дот-ти)</t>
  </si>
  <si>
    <t>Министр финансов Иркутской области                                                                                                                                                Н.В.Бояринова</t>
  </si>
  <si>
    <t>2 часть</t>
  </si>
  <si>
    <t xml:space="preserve">Расчет дотации на поддержку мер по обеспечению сбалансированности местных бюджетов в 2014 году </t>
  </si>
  <si>
    <t xml:space="preserve">Доходы, фактически поступившие в бюджет </t>
  </si>
  <si>
    <t>Налоговые и неналоговые доходы</t>
  </si>
  <si>
    <t xml:space="preserve">Расчетная величина доходов бюджета </t>
  </si>
  <si>
    <t>ЧИСЛЕННОСТЬ</t>
  </si>
  <si>
    <t>ст.223 за 2013г</t>
  </si>
  <si>
    <t>ст.223 за 2014г</t>
  </si>
  <si>
    <t>ст.211, 213 за 2014г</t>
  </si>
  <si>
    <t>ст.263 за 2014г</t>
  </si>
  <si>
    <t xml:space="preserve"> всего</t>
  </si>
  <si>
    <t xml:space="preserve">численность </t>
  </si>
  <si>
    <t>доля численность</t>
  </si>
  <si>
    <t>доля 223</t>
  </si>
  <si>
    <t>доля дох</t>
  </si>
  <si>
    <t>№ п/п</t>
  </si>
  <si>
    <t>размер дотации</t>
  </si>
  <si>
    <t>НДФЛ</t>
  </si>
  <si>
    <t xml:space="preserve"> налог на доходы физических лиц    </t>
  </si>
  <si>
    <t xml:space="preserve"> земельный налог </t>
  </si>
  <si>
    <t xml:space="preserve"> ЗН</t>
  </si>
  <si>
    <t>О</t>
  </si>
  <si>
    <t>ННД</t>
  </si>
  <si>
    <t>ПННД</t>
  </si>
  <si>
    <t>А</t>
  </si>
  <si>
    <t xml:space="preserve">доходы по налоговым и неналоговым доходам без учета НДФЛi  и ЗНi </t>
  </si>
  <si>
    <t>акцизы по подакцизным товарам (продукции), производимым на территории РФ</t>
  </si>
  <si>
    <t>9=5+6+7-8</t>
  </si>
  <si>
    <t xml:space="preserve">оценка налоговых и неналоговых доходов </t>
  </si>
  <si>
    <t>ДОХ</t>
  </si>
  <si>
    <r>
      <t xml:space="preserve">Дотация на выравниевание </t>
    </r>
    <r>
      <rPr>
        <i/>
        <u val="single"/>
        <sz val="10"/>
        <rFont val="Times New Roman"/>
        <family val="1"/>
      </rPr>
      <t>из ОБ и района</t>
    </r>
  </si>
  <si>
    <t>КУ</t>
  </si>
  <si>
    <t xml:space="preserve">коммунальные услуги ст.223 </t>
  </si>
  <si>
    <t>G</t>
  </si>
  <si>
    <t>доля коммунальных услуг в доходах</t>
  </si>
  <si>
    <t>G оц</t>
  </si>
  <si>
    <t>оценка доли ко. услуг в доходах</t>
  </si>
  <si>
    <t>К ку</t>
  </si>
  <si>
    <t>коэффициент расходов по коммунальным услугам</t>
  </si>
  <si>
    <t>ИМБТ =</t>
  </si>
  <si>
    <t>ИМБТ</t>
  </si>
  <si>
    <t>13=(11+12)/3</t>
  </si>
  <si>
    <t>14=13&gt;0,45</t>
  </si>
  <si>
    <t>15=14/ общую сумму 15</t>
  </si>
  <si>
    <t>16=размер дотации*15</t>
  </si>
  <si>
    <t>ДВБО</t>
  </si>
  <si>
    <t>БФ</t>
  </si>
  <si>
    <t>дополнительная потребность до конца 2014 года</t>
  </si>
  <si>
    <t>Безвозмездн. поступл (без дот на вырав)  план</t>
  </si>
  <si>
    <t>бюджетные ассигнования по состоянию на 01.02.2015</t>
  </si>
  <si>
    <t>Рфакт</t>
  </si>
  <si>
    <t>Право на получение ИМБТ</t>
  </si>
  <si>
    <t xml:space="preserve">расход </t>
  </si>
  <si>
    <t>Рожид</t>
  </si>
  <si>
    <t>доп. расх. по обслж центру</t>
  </si>
  <si>
    <t>3=4+9+10+11</t>
  </si>
  <si>
    <t>14=3-12-13</t>
  </si>
  <si>
    <t>дефицит</t>
  </si>
  <si>
    <t>Расчетная величина доходов бюджета на 01.01.2015</t>
  </si>
  <si>
    <t>дор. Фонд</t>
  </si>
  <si>
    <t xml:space="preserve">РАСЧЕТ
иных межбюджетных трансфертов, предоставляемых из бюджета Тулунского муниципального района бюджетам сельских поселений Тулунского муниципального района на 2015 год 
</t>
  </si>
  <si>
    <t>ОД</t>
  </si>
  <si>
    <t>Безвозмездн. поступл</t>
  </si>
  <si>
    <t>БП</t>
  </si>
  <si>
    <t>БА</t>
  </si>
  <si>
    <t>бюджетные ассигнования по состоянию на 01.01.2015</t>
  </si>
  <si>
    <t>ОП 2015</t>
  </si>
  <si>
    <t>ОП 2013</t>
  </si>
  <si>
    <t>Д</t>
  </si>
  <si>
    <t>дефицит на 01.01.2015</t>
  </si>
  <si>
    <t>ОР</t>
  </si>
  <si>
    <t>объем расходов</t>
  </si>
  <si>
    <t>3=4+5</t>
  </si>
  <si>
    <t>переданные отдельные полномочия</t>
  </si>
  <si>
    <t xml:space="preserve">по заключенным соглашениям 2013г. </t>
  </si>
  <si>
    <t xml:space="preserve">по заключенным соглашениям 2015г. </t>
  </si>
  <si>
    <t>9=6+(7-8)</t>
  </si>
  <si>
    <t>11=3-(9+10)</t>
  </si>
  <si>
    <t>Доходы</t>
  </si>
  <si>
    <t xml:space="preserve">Иные межбюджетные трансферты </t>
  </si>
  <si>
    <t xml:space="preserve">налоговые и неналоговые доходам без учета НДФЛi  и ЗНi </t>
  </si>
  <si>
    <r>
      <t xml:space="preserve">Дотация на выравниевание </t>
    </r>
    <r>
      <rPr>
        <i/>
        <u val="single"/>
        <sz val="12"/>
        <rFont val="Times New Roman"/>
        <family val="1"/>
      </rPr>
      <t>из ОБ и района (план на 2020 год)</t>
    </r>
  </si>
  <si>
    <t>7=4+5+6</t>
  </si>
  <si>
    <r>
      <t xml:space="preserve">Дотация на выравниевание </t>
    </r>
    <r>
      <rPr>
        <i/>
        <u val="single"/>
        <sz val="12"/>
        <rFont val="Times New Roman"/>
        <family val="1"/>
      </rPr>
      <t>из района (план на 2020 год)</t>
    </r>
  </si>
  <si>
    <r>
      <t xml:space="preserve">Дотация на выравниевание </t>
    </r>
    <r>
      <rPr>
        <i/>
        <u val="single"/>
        <sz val="12"/>
        <rFont val="Times New Roman"/>
        <family val="1"/>
      </rPr>
      <t>из ОБ  (уточнения)</t>
    </r>
  </si>
  <si>
    <t>условия предоставления ИМБТ</t>
  </si>
  <si>
    <t>V</t>
  </si>
  <si>
    <t xml:space="preserve">оценка ожидаемого объема налоговых и неналоговых доходов </t>
  </si>
  <si>
    <t>ожидаемый объем поступлений акцизов по подакцизным товарам (продукции), производимым на территории РФ</t>
  </si>
  <si>
    <t>ДВБО район</t>
  </si>
  <si>
    <t>ДВБО область</t>
  </si>
  <si>
    <t>утвержденный объем иных МБТ на з/плату</t>
  </si>
  <si>
    <t xml:space="preserve">утвержденный объем иных МБТ </t>
  </si>
  <si>
    <t>объем доходов сельских поселений</t>
  </si>
  <si>
    <t>остатки на 2020 г нецелевых ср-в</t>
  </si>
  <si>
    <t>О2020</t>
  </si>
  <si>
    <r>
      <t xml:space="preserve">Дотация на выравниевание </t>
    </r>
    <r>
      <rPr>
        <i/>
        <u val="single"/>
        <sz val="12"/>
        <rFont val="Times New Roman"/>
        <family val="1"/>
      </rPr>
      <t>из района (дополнит. (уточнение сентябрь))</t>
    </r>
  </si>
  <si>
    <t>ДВБО район (доп)</t>
  </si>
  <si>
    <t>12=9+10+11</t>
  </si>
  <si>
    <t xml:space="preserve">распределяемый объем  </t>
  </si>
  <si>
    <t>Иные межбюджетные трансферты  (тыс. руб.) всего</t>
  </si>
  <si>
    <t>Расходы (ожид)</t>
  </si>
  <si>
    <t>з/пл всего</t>
  </si>
  <si>
    <t>з/пл с начисл. на нее основного перс. культуры</t>
  </si>
  <si>
    <t>з/пл с начисл. на нее работников ОМСУ</t>
  </si>
  <si>
    <t>ЗПкул</t>
  </si>
  <si>
    <t>ЗПомсу</t>
  </si>
  <si>
    <t>ЗП</t>
  </si>
  <si>
    <t>3=7+12+13+14+15-8</t>
  </si>
  <si>
    <t>соглашения</t>
  </si>
  <si>
    <t>пенсия</t>
  </si>
  <si>
    <t>недостаток по поселениям</t>
  </si>
  <si>
    <t>чс</t>
  </si>
  <si>
    <t>софин-ие</t>
  </si>
  <si>
    <t>Выравнивали с Галиной Эдуардовной</t>
  </si>
  <si>
    <t>23=16+17+18+19+20+21+22</t>
  </si>
  <si>
    <t>24=3+15-22</t>
  </si>
  <si>
    <t>25=24&lt;0</t>
  </si>
  <si>
    <t>27=25/сумм25*26</t>
  </si>
  <si>
    <t>РАСЧЕТ
иных межбюджетных трансфертов из бюджета Тулунского муниципального района бюджетам сельских поселений на выплату 
денежного содержания с начислениями на него главам, муниципальным служащим органов местного самоуправления сельских поселений, а также заработной платы с начислениями на нее техническому и вспомогательному персоналу органов местного самоуправления сельских поселений, работникам учреждений, находящихся в ведении органов местного самоуправления сельских поселений Тулунского района и выполнение расходных обязательств по передаче полномочий в соответствии с заключенными соглашениями на 2020 год (декабрь)</t>
  </si>
  <si>
    <t>ИМБТ зп</t>
  </si>
  <si>
    <t>ИМБТ зпс</t>
  </si>
  <si>
    <t>С</t>
  </si>
  <si>
    <t>ком. услуги</t>
  </si>
  <si>
    <t>П</t>
  </si>
  <si>
    <t>ПСД</t>
  </si>
  <si>
    <t>подготовка проектно-сметной документации</t>
  </si>
  <si>
    <t>ОП</t>
  </si>
  <si>
    <t>Форма: [balans_bud_pos] Оценка исполнения местного бюджета до конца текущего финансового года с учетом прогноза по доходам, расходам и источникам финансирования дефицита местного бюджета</t>
  </si>
  <si>
    <t>Таблица: 1-Оценка исполнения бюджета (т1)</t>
  </si>
  <si>
    <t>Бюджет: [БС] Бюджет сельских поселений</t>
  </si>
  <si>
    <t>Организация: [34029] 34029 Тулунский муниципальный район</t>
  </si>
  <si>
    <t/>
  </si>
  <si>
    <t>Организация</t>
  </si>
  <si>
    <t>Нижестоящие отчеты</t>
  </si>
  <si>
    <t>3402901 Азейское сельское поселение</t>
  </si>
  <si>
    <t>3402902 Алгатуйское сельское поселение</t>
  </si>
  <si>
    <t>3402903 Аршанское сельское поселение</t>
  </si>
  <si>
    <t>3402904 Афанасьевское сельское поселение</t>
  </si>
  <si>
    <t>3402905 Будаговское сельское поселение</t>
  </si>
  <si>
    <t>3402906 Бурхунское сельское поселение</t>
  </si>
  <si>
    <t>3402907 Владимирское сельское поселение</t>
  </si>
  <si>
    <t>3402908 Гадалейское сельское поселение</t>
  </si>
  <si>
    <t>3402909 Гуранское сельское поселение</t>
  </si>
  <si>
    <t>3402910 Евдокимовское сельское поселение</t>
  </si>
  <si>
    <t>3402911 Едогонское сельское поселение</t>
  </si>
  <si>
    <t>3402912 Икейское сельское поселение</t>
  </si>
  <si>
    <t>3402913 Ишидейское сельское поселение</t>
  </si>
  <si>
    <t>3402914 Кирейское сельское поселение</t>
  </si>
  <si>
    <t>3402915 Котикское сельское поселение</t>
  </si>
  <si>
    <t>3402916 Мугунское сельское поселение</t>
  </si>
  <si>
    <t>3402917 Нижнебурбукское сельское поселение</t>
  </si>
  <si>
    <t>3402918 Октябрьское сельское поселение</t>
  </si>
  <si>
    <t>3402919 Перфиловское сельское поселение</t>
  </si>
  <si>
    <t>3402920 Писаревское сельское поселение</t>
  </si>
  <si>
    <t>3402921 Сибирякское сельское поселение</t>
  </si>
  <si>
    <t>3402922 Умыганское сельское поселение</t>
  </si>
  <si>
    <t>3402923 Усть-Кульское сельское поселение</t>
  </si>
  <si>
    <t>3402924 Шерагульское сельское поселение</t>
  </si>
  <si>
    <t>Итого</t>
  </si>
  <si>
    <t>З/пл с начисл. на нее (ПЛАН)</t>
  </si>
  <si>
    <t>З/пл с начисл. на нее (Оценка)</t>
  </si>
  <si>
    <t>Распределяемый объем ИМБТ</t>
  </si>
  <si>
    <t>Объем расходов с учетом ИМБТ</t>
  </si>
  <si>
    <t>З/плата</t>
  </si>
  <si>
    <t>Иные межбюджетные трансферты  (тыс. руб.) округление</t>
  </si>
  <si>
    <t>н/п</t>
  </si>
  <si>
    <t>Наименвание сельского поселения</t>
  </si>
  <si>
    <t>Наименование поселений</t>
  </si>
  <si>
    <t>сумма</t>
  </si>
  <si>
    <t>Афанасьевское сельского поселения</t>
  </si>
  <si>
    <t>Бурхунское сельского поселения</t>
  </si>
  <si>
    <t>Гуранское сельского поселения</t>
  </si>
  <si>
    <t>Едогонское сельского поселения</t>
  </si>
  <si>
    <t>Кирейское сельского поселения</t>
  </si>
  <si>
    <t>Мугунское сельского поселения</t>
  </si>
  <si>
    <t>Октябрьское сельского поселения</t>
  </si>
  <si>
    <t>Перфиловское сельского поселения</t>
  </si>
  <si>
    <t>Сибирякское сельского поселения</t>
  </si>
  <si>
    <t>Умыганское сельского поселения</t>
  </si>
  <si>
    <t>Шерагульское сельского поселения</t>
  </si>
  <si>
    <t>Алгатуйское сельское поселение</t>
  </si>
  <si>
    <t>Аршанское сельское поселение</t>
  </si>
  <si>
    <t>Будаговское сельское поселение</t>
  </si>
  <si>
    <t>Усть-Кульское сельское поселение</t>
  </si>
  <si>
    <t>передача полномочий по соглашениям</t>
  </si>
  <si>
    <t>Переданные полномочия по соглашениям (ПЛАН)</t>
  </si>
  <si>
    <t>Переданные полномочия по соглашениям (Оценка)</t>
  </si>
  <si>
    <t>Итого (ПЛАН)</t>
  </si>
  <si>
    <t>Итого (Оценка)</t>
  </si>
  <si>
    <t>10=(сумм7+9)*(8/сумм8)</t>
  </si>
  <si>
    <t>11=(7-10)&lt;0</t>
  </si>
  <si>
    <t>12=(7-10)/сумм(7-10)*9</t>
  </si>
  <si>
    <r>
      <t>Условия отбора для предоставления ИМБТ</t>
    </r>
    <r>
      <rPr>
        <vertAlign val="superscript"/>
        <sz val="13"/>
        <rFont val="Times New Roman"/>
        <family val="1"/>
      </rPr>
      <t>2022</t>
    </r>
  </si>
  <si>
    <t>7-Оценка на 2023 год (стр. 7310)</t>
  </si>
  <si>
    <t>6-План на 2023 год (стр. 2400)</t>
  </si>
  <si>
    <t>7-Оценка на 2023 год (стр. 2400)</t>
  </si>
  <si>
    <r>
      <t>ЗП</t>
    </r>
    <r>
      <rPr>
        <vertAlign val="subscript"/>
        <sz val="15"/>
        <rFont val="Times New Roman"/>
        <family val="1"/>
      </rPr>
      <t>пл</t>
    </r>
    <r>
      <rPr>
        <vertAlign val="superscript"/>
        <sz val="15"/>
        <rFont val="Times New Roman"/>
        <family val="1"/>
      </rPr>
      <t>2023</t>
    </r>
  </si>
  <si>
    <r>
      <t>ЗПоц</t>
    </r>
    <r>
      <rPr>
        <vertAlign val="superscript"/>
        <sz val="15"/>
        <rFont val="Times New Roman"/>
        <family val="1"/>
      </rPr>
      <t>2023</t>
    </r>
  </si>
  <si>
    <r>
      <t>ПП</t>
    </r>
    <r>
      <rPr>
        <vertAlign val="subscript"/>
        <sz val="15"/>
        <rFont val="Times New Roman"/>
        <family val="1"/>
      </rPr>
      <t>пл</t>
    </r>
    <r>
      <rPr>
        <vertAlign val="superscript"/>
        <sz val="15"/>
        <rFont val="Times New Roman"/>
        <family val="1"/>
      </rPr>
      <t>2023</t>
    </r>
  </si>
  <si>
    <r>
      <t>ППоц</t>
    </r>
    <r>
      <rPr>
        <vertAlign val="superscript"/>
        <sz val="15"/>
        <rFont val="Times New Roman"/>
        <family val="1"/>
      </rPr>
      <t>2023</t>
    </r>
  </si>
  <si>
    <r>
      <t>ПЛ</t>
    </r>
    <r>
      <rPr>
        <vertAlign val="superscript"/>
        <sz val="15"/>
        <rFont val="Times New Roman"/>
        <family val="1"/>
      </rPr>
      <t>2023</t>
    </r>
  </si>
  <si>
    <r>
      <t>ОЦ</t>
    </r>
    <r>
      <rPr>
        <vertAlign val="superscript"/>
        <sz val="15"/>
        <rFont val="Times New Roman"/>
        <family val="1"/>
      </rPr>
      <t>2023</t>
    </r>
  </si>
  <si>
    <r>
      <t>Р</t>
    </r>
    <r>
      <rPr>
        <vertAlign val="superscript"/>
        <sz val="15"/>
        <rFont val="Arial"/>
        <family val="2"/>
      </rPr>
      <t>2023</t>
    </r>
  </si>
  <si>
    <r>
      <t>ИМБТ</t>
    </r>
    <r>
      <rPr>
        <vertAlign val="superscript"/>
        <sz val="15"/>
        <rFont val="Times New Roman"/>
        <family val="1"/>
      </rPr>
      <t>2023</t>
    </r>
  </si>
  <si>
    <t>Анализ гр. '6-План на 2023 год' строки '7310' (balans_bud_pos)</t>
  </si>
  <si>
    <t>Период: Август 2023 год</t>
  </si>
  <si>
    <t>6-План на 2023 год</t>
  </si>
  <si>
    <t xml:space="preserve">Распределение иных межбюджетных трансфертов из бюджета Тулунского муниципального района бюджетам сельских поселений на выплату денежного содержания с начислениями на него главам, муниципальным служащим органов местного самоуправления сельских поселений Тулунского района, а также заработной платы с начислениями на нее техническому и вспомогательному персоналу органов местного самоуправления сельских поселений Тулунского района, работникам учреждений, находящихся в ведении органов местного самоуправления сельских поселений Тулунского района  и на передачу части полномочий бюджету другого уровня по соглашениям на 2023 год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</si>
</sst>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_);_(&quot;р.&quot;* \(#,##0\);_(&quot;р.&quot;* &quot;-&quot;_);_(@_)"/>
    <numFmt numFmtId="175" formatCode="_(* #,##0_);_(* \(#,##0\);_(* &quot;-&quot;_);_(@_)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#"/>
    <numFmt numFmtId="179" formatCode="#,##0_ ;[Red]\-#,##0\ "/>
    <numFmt numFmtId="180" formatCode="#,##0.0_ ;[Red]\-#,##0.0\ "/>
    <numFmt numFmtId="181" formatCode="#,##0.0"/>
    <numFmt numFmtId="182" formatCode="#,##0.00_ ;[Red]\-#,##0.00\ "/>
    <numFmt numFmtId="183" formatCode="#,##0.000_ ;[Red]\-#,##0.000\ "/>
    <numFmt numFmtId="184" formatCode="#,##0.0000_ ;[Red]\-#,##0.0000\ "/>
    <numFmt numFmtId="185" formatCode="0.0"/>
    <numFmt numFmtId="186" formatCode="0.000"/>
    <numFmt numFmtId="187" formatCode="###\ ###\ ###\ ###\ ##0"/>
    <numFmt numFmtId="188" formatCode="#.0"/>
    <numFmt numFmtId="189" formatCode="#.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0"/>
    <numFmt numFmtId="196" formatCode="#,##0.0000000"/>
    <numFmt numFmtId="197" formatCode="#,##0.0000"/>
    <numFmt numFmtId="198" formatCode="#,##0.00000"/>
    <numFmt numFmtId="199" formatCode="0.0000"/>
    <numFmt numFmtId="200" formatCode="0.00000000"/>
    <numFmt numFmtId="201" formatCode="0.0000000"/>
    <numFmt numFmtId="202" formatCode="0.000000"/>
    <numFmt numFmtId="203" formatCode="0.00000"/>
  </numFmts>
  <fonts count="80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5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1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5"/>
      <name val="Times New Roman"/>
      <family val="1"/>
    </font>
    <font>
      <vertAlign val="subscript"/>
      <sz val="15"/>
      <name val="Times New Roman"/>
      <family val="1"/>
    </font>
    <font>
      <vertAlign val="superscript"/>
      <sz val="15"/>
      <name val="Times New Roman"/>
      <family val="1"/>
    </font>
    <font>
      <sz val="15"/>
      <name val="Arial"/>
      <family val="2"/>
    </font>
    <font>
      <vertAlign val="superscript"/>
      <sz val="15"/>
      <name val="Arial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4" borderId="0" applyNumberFormat="0" applyBorder="0" applyAlignment="0" applyProtection="0"/>
    <xf numFmtId="0" fontId="30" fillId="6" borderId="0" applyNumberFormat="0" applyBorder="0" applyAlignment="0" applyProtection="0"/>
    <xf numFmtId="0" fontId="0" fillId="3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11" borderId="0" applyNumberFormat="0" applyBorder="0" applyAlignment="0" applyProtection="0"/>
    <xf numFmtId="0" fontId="30" fillId="7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3" fillId="10" borderId="0" applyNumberFormat="0" applyBorder="0" applyAlignment="0" applyProtection="0"/>
    <xf numFmtId="0" fontId="31" fillId="16" borderId="0" applyNumberFormat="0" applyBorder="0" applyAlignment="0" applyProtection="0"/>
    <xf numFmtId="0" fontId="13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11" borderId="0" applyNumberFormat="0" applyBorder="0" applyAlignment="0" applyProtection="0"/>
    <xf numFmtId="0" fontId="31" fillId="13" borderId="0" applyNumberFormat="0" applyBorder="0" applyAlignment="0" applyProtection="0"/>
    <xf numFmtId="0" fontId="13" fillId="11" borderId="0" applyNumberFormat="0" applyBorder="0" applyAlignment="0" applyProtection="0"/>
    <xf numFmtId="0" fontId="31" fillId="17" borderId="0" applyNumberFormat="0" applyBorder="0" applyAlignment="0" applyProtection="0"/>
    <xf numFmtId="0" fontId="13" fillId="10" borderId="0" applyNumberFormat="0" applyBorder="0" applyAlignment="0" applyProtection="0"/>
    <xf numFmtId="0" fontId="31" fillId="18" borderId="0" applyNumberFormat="0" applyBorder="0" applyAlignment="0" applyProtection="0"/>
    <xf numFmtId="0" fontId="13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21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0" borderId="0" applyNumberFormat="0" applyBorder="0" applyAlignment="0" applyProtection="0"/>
    <xf numFmtId="0" fontId="13" fillId="21" borderId="0" applyNumberFormat="0" applyBorder="0" applyAlignment="0" applyProtection="0"/>
    <xf numFmtId="0" fontId="31" fillId="17" borderId="0" applyNumberFormat="0" applyBorder="0" applyAlignment="0" applyProtection="0"/>
    <xf numFmtId="0" fontId="13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2" borderId="0" applyNumberFormat="0" applyBorder="0" applyAlignment="0" applyProtection="0"/>
    <xf numFmtId="0" fontId="31" fillId="26" borderId="0" applyNumberFormat="0" applyBorder="0" applyAlignment="0" applyProtection="0"/>
    <xf numFmtId="0" fontId="6" fillId="5" borderId="0" applyNumberFormat="0" applyBorder="0" applyAlignment="0" applyProtection="0"/>
    <xf numFmtId="0" fontId="42" fillId="5" borderId="0" applyNumberFormat="0" applyBorder="0" applyAlignment="0" applyProtection="0"/>
    <xf numFmtId="0" fontId="1" fillId="9" borderId="1" applyNumberFormat="0" applyAlignment="0" applyProtection="0"/>
    <xf numFmtId="0" fontId="34" fillId="11" borderId="1" applyNumberFormat="0" applyAlignment="0" applyProtection="0"/>
    <xf numFmtId="0" fontId="3" fillId="25" borderId="2" applyNumberFormat="0" applyAlignment="0" applyProtection="0"/>
    <xf numFmtId="0" fontId="39" fillId="25" borderId="2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6" fillId="6" borderId="0" applyNumberFormat="0" applyBorder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8" fillId="0" borderId="5" applyNumberFormat="0" applyFill="0" applyAlignment="0" applyProtection="0"/>
    <xf numFmtId="0" fontId="36" fillId="0" borderId="6" applyNumberFormat="0" applyFill="0" applyAlignment="0" applyProtection="0"/>
    <xf numFmtId="0" fontId="4" fillId="0" borderId="7" applyNumberFormat="0" applyFill="0" applyAlignment="0" applyProtection="0"/>
    <xf numFmtId="0" fontId="37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8" borderId="1" applyNumberFormat="0" applyAlignment="0" applyProtection="0"/>
    <xf numFmtId="0" fontId="32" fillId="8" borderId="1" applyNumberFormat="0" applyAlignment="0" applyProtection="0"/>
    <xf numFmtId="0" fontId="16" fillId="0" borderId="9" applyNumberFormat="0" applyFill="0" applyAlignment="0" applyProtection="0"/>
    <xf numFmtId="0" fontId="44" fillId="0" borderId="9" applyNumberFormat="0" applyFill="0" applyAlignment="0" applyProtection="0"/>
    <xf numFmtId="0" fontId="12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4" borderId="10" applyNumberFormat="0" applyFont="0" applyAlignment="0" applyProtection="0"/>
    <xf numFmtId="0" fontId="48" fillId="4" borderId="10" applyNumberFormat="0" applyFont="0" applyAlignment="0" applyProtection="0"/>
    <xf numFmtId="0" fontId="5" fillId="9" borderId="11" applyNumberFormat="0" applyAlignment="0" applyProtection="0"/>
    <xf numFmtId="0" fontId="33" fillId="11" borderId="11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61" fillId="2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61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61" fillId="3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1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1" fillId="3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62" fillId="33" borderId="14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63" fillId="34" borderId="15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64" fillId="34" borderId="14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16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6" fillId="0" borderId="17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67" fillId="0" borderId="1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9" fillId="35" borderId="20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18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8" borderId="21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9" fontId="0" fillId="0" borderId="0" applyFont="0" applyFill="0" applyBorder="0" applyAlignment="0" applyProtection="0"/>
    <xf numFmtId="0" fontId="75" fillId="0" borderId="22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7" fillId="39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</cellStyleXfs>
  <cellXfs count="331">
    <xf numFmtId="0" fontId="0" fillId="0" borderId="0" xfId="0" applyAlignment="1">
      <alignment/>
    </xf>
    <xf numFmtId="180" fontId="19" fillId="0" borderId="23" xfId="319" applyNumberFormat="1" applyFont="1" applyFill="1" applyBorder="1" applyAlignment="1">
      <alignment horizontal="center" vertical="center" wrapText="1"/>
      <protection/>
    </xf>
    <xf numFmtId="179" fontId="25" fillId="9" borderId="0" xfId="0" applyNumberFormat="1" applyFont="1" applyFill="1" applyAlignment="1">
      <alignment horizontal="center" vertical="center" wrapText="1"/>
    </xf>
    <xf numFmtId="180" fontId="19" fillId="0" borderId="24" xfId="319" applyNumberFormat="1" applyFont="1" applyFill="1" applyBorder="1" applyAlignment="1">
      <alignment horizontal="center" vertical="center" wrapText="1"/>
      <protection/>
    </xf>
    <xf numFmtId="180" fontId="19" fillId="0" borderId="25" xfId="319" applyNumberFormat="1" applyFont="1" applyFill="1" applyBorder="1" applyAlignment="1">
      <alignment horizontal="center" vertical="center" wrapText="1"/>
      <protection/>
    </xf>
    <xf numFmtId="179" fontId="19" fillId="9" borderId="24" xfId="319" applyNumberFormat="1" applyFont="1" applyFill="1" applyBorder="1" applyAlignment="1">
      <alignment horizontal="center" vertical="center" wrapText="1"/>
      <protection/>
    </xf>
    <xf numFmtId="179" fontId="19" fillId="9" borderId="25" xfId="319" applyNumberFormat="1" applyFont="1" applyFill="1" applyBorder="1" applyAlignment="1">
      <alignment horizontal="center" vertical="center" wrapText="1"/>
      <protection/>
    </xf>
    <xf numFmtId="0" fontId="19" fillId="9" borderId="23" xfId="318" applyFont="1" applyFill="1" applyBorder="1" applyAlignment="1">
      <alignment vertical="center"/>
      <protection/>
    </xf>
    <xf numFmtId="0" fontId="21" fillId="9" borderId="0" xfId="336" applyFont="1" applyFill="1" applyBorder="1" applyAlignment="1">
      <alignment horizontal="center" vertical="center" shrinkToFit="1"/>
      <protection/>
    </xf>
    <xf numFmtId="179" fontId="19" fillId="9" borderId="0" xfId="0" applyNumberFormat="1" applyFont="1" applyFill="1" applyAlignment="1">
      <alignment vertical="center" wrapText="1"/>
    </xf>
    <xf numFmtId="180" fontId="21" fillId="9" borderId="0" xfId="336" applyNumberFormat="1" applyFont="1" applyFill="1" applyBorder="1" applyAlignment="1">
      <alignment vertical="center" shrinkToFit="1"/>
      <protection/>
    </xf>
    <xf numFmtId="0" fontId="19" fillId="9" borderId="0" xfId="318" applyFont="1" applyFill="1" applyAlignment="1">
      <alignment vertical="center"/>
      <protection/>
    </xf>
    <xf numFmtId="10" fontId="19" fillId="9" borderId="0" xfId="318" applyNumberFormat="1" applyFont="1" applyFill="1" applyAlignment="1">
      <alignment vertical="center"/>
      <protection/>
    </xf>
    <xf numFmtId="0" fontId="23" fillId="9" borderId="23" xfId="319" applyNumberFormat="1" applyFont="1" applyFill="1" applyBorder="1" applyAlignment="1">
      <alignment horizontal="center" vertical="center" wrapText="1" shrinkToFit="1"/>
      <protection/>
    </xf>
    <xf numFmtId="179" fontId="23" fillId="9" borderId="23" xfId="319" applyNumberFormat="1" applyFont="1" applyFill="1" applyBorder="1" applyAlignment="1">
      <alignment horizontal="center" vertical="center" shrinkToFit="1"/>
      <protection/>
    </xf>
    <xf numFmtId="0" fontId="23" fillId="9" borderId="0" xfId="318" applyFont="1" applyFill="1" applyAlignment="1">
      <alignment vertical="center"/>
      <protection/>
    </xf>
    <xf numFmtId="179" fontId="19" fillId="9" borderId="23" xfId="319" applyNumberFormat="1" applyFont="1" applyFill="1" applyBorder="1" applyAlignment="1">
      <alignment horizontal="left" vertical="center" shrinkToFit="1"/>
      <protection/>
    </xf>
    <xf numFmtId="179" fontId="19" fillId="9" borderId="0" xfId="319" applyNumberFormat="1" applyFont="1" applyFill="1" applyAlignment="1">
      <alignment vertical="center" wrapText="1"/>
      <protection/>
    </xf>
    <xf numFmtId="0" fontId="19" fillId="9" borderId="0" xfId="319" applyFont="1" applyFill="1" applyAlignment="1">
      <alignment vertical="center"/>
      <protection/>
    </xf>
    <xf numFmtId="180" fontId="19" fillId="9" borderId="0" xfId="318" applyNumberFormat="1" applyFont="1" applyFill="1" applyAlignment="1">
      <alignment vertical="center"/>
      <protection/>
    </xf>
    <xf numFmtId="179" fontId="19" fillId="9" borderId="23" xfId="336" applyNumberFormat="1" applyFont="1" applyFill="1" applyBorder="1" applyAlignment="1">
      <alignment horizontal="center" vertical="center" shrinkToFit="1"/>
      <protection/>
    </xf>
    <xf numFmtId="179" fontId="19" fillId="9" borderId="23" xfId="336" applyNumberFormat="1" applyFont="1" applyFill="1" applyBorder="1" applyAlignment="1">
      <alignment vertical="center" shrinkToFit="1"/>
      <protection/>
    </xf>
    <xf numFmtId="180" fontId="19" fillId="9" borderId="23" xfId="336" applyNumberFormat="1" applyFont="1" applyFill="1" applyBorder="1" applyAlignment="1">
      <alignment vertical="center" shrinkToFit="1"/>
      <protection/>
    </xf>
    <xf numFmtId="179" fontId="20" fillId="9" borderId="23" xfId="319" applyNumberFormat="1" applyFont="1" applyFill="1" applyBorder="1" applyAlignment="1">
      <alignment horizontal="right" vertical="center" shrinkToFit="1"/>
      <protection/>
    </xf>
    <xf numFmtId="179" fontId="20" fillId="9" borderId="26" xfId="319" applyNumberFormat="1" applyFont="1" applyFill="1" applyBorder="1" applyAlignment="1">
      <alignment vertical="center" shrinkToFit="1"/>
      <protection/>
    </xf>
    <xf numFmtId="0" fontId="20" fillId="9" borderId="0" xfId="318" applyFont="1" applyFill="1" applyAlignment="1">
      <alignment vertical="center"/>
      <protection/>
    </xf>
    <xf numFmtId="9" fontId="21" fillId="9" borderId="0" xfId="361" applyFont="1" applyFill="1" applyBorder="1" applyAlignment="1">
      <alignment vertical="center" shrinkToFit="1"/>
    </xf>
    <xf numFmtId="180" fontId="19" fillId="9" borderId="25" xfId="319" applyNumberFormat="1" applyFont="1" applyFill="1" applyBorder="1" applyAlignment="1">
      <alignment horizontal="center" vertical="center" wrapText="1"/>
      <protection/>
    </xf>
    <xf numFmtId="180" fontId="19" fillId="9" borderId="24" xfId="319" applyNumberFormat="1" applyFont="1" applyFill="1" applyBorder="1" applyAlignment="1">
      <alignment horizontal="center" vertical="center" wrapText="1"/>
      <protection/>
    </xf>
    <xf numFmtId="181" fontId="19" fillId="8" borderId="23" xfId="0" applyNumberFormat="1" applyFont="1" applyFill="1" applyBorder="1" applyAlignment="1">
      <alignment horizontal="right" vertical="center" shrinkToFit="1"/>
    </xf>
    <xf numFmtId="181" fontId="19" fillId="8" borderId="25" xfId="0" applyNumberFormat="1" applyFont="1" applyFill="1" applyBorder="1" applyAlignment="1">
      <alignment horizontal="right" vertical="center" shrinkToFit="1"/>
    </xf>
    <xf numFmtId="180" fontId="19" fillId="40" borderId="23" xfId="0" applyNumberFormat="1" applyFont="1" applyFill="1" applyBorder="1" applyAlignment="1">
      <alignment horizontal="right" vertical="top"/>
    </xf>
    <xf numFmtId="182" fontId="19" fillId="40" borderId="23" xfId="0" applyNumberFormat="1" applyFont="1" applyFill="1" applyBorder="1" applyAlignment="1">
      <alignment horizontal="right" vertical="top"/>
    </xf>
    <xf numFmtId="180" fontId="19" fillId="13" borderId="23" xfId="0" applyNumberFormat="1" applyFont="1" applyFill="1" applyBorder="1" applyAlignment="1">
      <alignment horizontal="right" vertical="top"/>
    </xf>
    <xf numFmtId="182" fontId="19" fillId="13" borderId="23" xfId="0" applyNumberFormat="1" applyFont="1" applyFill="1" applyBorder="1" applyAlignment="1">
      <alignment horizontal="right" vertical="top"/>
    </xf>
    <xf numFmtId="179" fontId="19" fillId="8" borderId="23" xfId="336" applyNumberFormat="1" applyFont="1" applyFill="1" applyBorder="1" applyAlignment="1">
      <alignment vertical="center" shrinkToFit="1"/>
      <protection/>
    </xf>
    <xf numFmtId="185" fontId="19" fillId="40" borderId="23" xfId="338" applyNumberFormat="1" applyFont="1" applyFill="1" applyBorder="1" applyAlignment="1">
      <alignment horizontal="right"/>
      <protection/>
    </xf>
    <xf numFmtId="185" fontId="19" fillId="40" borderId="23" xfId="338" applyNumberFormat="1" applyFont="1" applyFill="1" applyBorder="1" applyAlignment="1">
      <alignment horizontal="right" wrapText="1"/>
      <protection/>
    </xf>
    <xf numFmtId="185" fontId="19" fillId="13" borderId="23" xfId="338" applyNumberFormat="1" applyFont="1" applyFill="1" applyBorder="1" applyAlignment="1">
      <alignment horizontal="right"/>
      <protection/>
    </xf>
    <xf numFmtId="185" fontId="19" fillId="13" borderId="23" xfId="338" applyNumberFormat="1" applyFont="1" applyFill="1" applyBorder="1" applyAlignment="1">
      <alignment horizontal="right" wrapText="1"/>
      <protection/>
    </xf>
    <xf numFmtId="185" fontId="19" fillId="40" borderId="25" xfId="338" applyNumberFormat="1" applyFont="1" applyFill="1" applyBorder="1" applyAlignment="1">
      <alignment horizontal="right"/>
      <protection/>
    </xf>
    <xf numFmtId="185" fontId="19" fillId="40" borderId="25" xfId="338" applyNumberFormat="1" applyFont="1" applyFill="1" applyBorder="1" applyAlignment="1">
      <alignment horizontal="right" wrapText="1"/>
      <protection/>
    </xf>
    <xf numFmtId="180" fontId="19" fillId="8" borderId="23" xfId="336" applyNumberFormat="1" applyFont="1" applyFill="1" applyBorder="1" applyAlignment="1">
      <alignment vertical="center" shrinkToFit="1"/>
      <protection/>
    </xf>
    <xf numFmtId="0" fontId="0" fillId="8" borderId="23" xfId="0" applyFill="1" applyBorder="1" applyAlignment="1">
      <alignment/>
    </xf>
    <xf numFmtId="180" fontId="19" fillId="9" borderId="27" xfId="319" applyNumberFormat="1" applyFont="1" applyFill="1" applyBorder="1" applyAlignment="1">
      <alignment horizontal="center" vertical="center" wrapText="1"/>
      <protection/>
    </xf>
    <xf numFmtId="179" fontId="19" fillId="9" borderId="27" xfId="319" applyNumberFormat="1" applyFont="1" applyFill="1" applyBorder="1" applyAlignment="1">
      <alignment horizontal="center" vertical="center" wrapText="1"/>
      <protection/>
    </xf>
    <xf numFmtId="181" fontId="19" fillId="8" borderId="28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/>
    </xf>
    <xf numFmtId="179" fontId="19" fillId="13" borderId="23" xfId="336" applyNumberFormat="1" applyFont="1" applyFill="1" applyBorder="1" applyAlignment="1">
      <alignment horizontal="center" vertical="center" shrinkToFit="1"/>
      <protection/>
    </xf>
    <xf numFmtId="179" fontId="19" fillId="13" borderId="23" xfId="319" applyNumberFormat="1" applyFont="1" applyFill="1" applyBorder="1" applyAlignment="1">
      <alignment horizontal="left" vertical="center" shrinkToFit="1"/>
      <protection/>
    </xf>
    <xf numFmtId="179" fontId="19" fillId="13" borderId="23" xfId="336" applyNumberFormat="1" applyFont="1" applyFill="1" applyBorder="1" applyAlignment="1">
      <alignment vertical="center" shrinkToFit="1"/>
      <protection/>
    </xf>
    <xf numFmtId="0" fontId="0" fillId="13" borderId="23" xfId="0" applyFill="1" applyBorder="1" applyAlignment="1">
      <alignment/>
    </xf>
    <xf numFmtId="181" fontId="19" fillId="13" borderId="28" xfId="0" applyNumberFormat="1" applyFont="1" applyFill="1" applyBorder="1" applyAlignment="1">
      <alignment horizontal="right" vertical="center" wrapText="1"/>
    </xf>
    <xf numFmtId="180" fontId="19" fillId="13" borderId="23" xfId="336" applyNumberFormat="1" applyFont="1" applyFill="1" applyBorder="1" applyAlignment="1">
      <alignment vertical="center" shrinkToFit="1"/>
      <protection/>
    </xf>
    <xf numFmtId="181" fontId="19" fillId="13" borderId="23" xfId="0" applyNumberFormat="1" applyFont="1" applyFill="1" applyBorder="1" applyAlignment="1">
      <alignment horizontal="right" vertical="center" shrinkToFit="1"/>
    </xf>
    <xf numFmtId="0" fontId="19" fillId="13" borderId="0" xfId="318" applyFont="1" applyFill="1" applyAlignment="1">
      <alignment vertical="center"/>
      <protection/>
    </xf>
    <xf numFmtId="179" fontId="21" fillId="9" borderId="29" xfId="319" applyNumberFormat="1" applyFont="1" applyFill="1" applyBorder="1" applyAlignment="1">
      <alignment horizontal="center" vertical="center" wrapText="1"/>
      <protection/>
    </xf>
    <xf numFmtId="179" fontId="22" fillId="0" borderId="30" xfId="0" applyNumberFormat="1" applyFont="1" applyFill="1" applyBorder="1" applyAlignment="1">
      <alignment horizontal="right" vertical="top"/>
    </xf>
    <xf numFmtId="179" fontId="22" fillId="0" borderId="31" xfId="0" applyNumberFormat="1" applyFont="1" applyFill="1" applyBorder="1" applyAlignment="1">
      <alignment horizontal="right" vertical="top"/>
    </xf>
    <xf numFmtId="179" fontId="19" fillId="9" borderId="32" xfId="319" applyNumberFormat="1" applyFont="1" applyFill="1" applyBorder="1" applyAlignment="1">
      <alignment horizontal="center" vertical="center" wrapText="1"/>
      <protection/>
    </xf>
    <xf numFmtId="185" fontId="19" fillId="40" borderId="23" xfId="0" applyNumberFormat="1" applyFont="1" applyFill="1" applyBorder="1" applyAlignment="1">
      <alignment/>
    </xf>
    <xf numFmtId="185" fontId="19" fillId="13" borderId="23" xfId="0" applyNumberFormat="1" applyFont="1" applyFill="1" applyBorder="1" applyAlignment="1">
      <alignment/>
    </xf>
    <xf numFmtId="183" fontId="22" fillId="0" borderId="33" xfId="0" applyNumberFormat="1" applyFont="1" applyFill="1" applyBorder="1" applyAlignment="1">
      <alignment horizontal="right" vertical="top"/>
    </xf>
    <xf numFmtId="183" fontId="20" fillId="9" borderId="26" xfId="319" applyNumberFormat="1" applyFont="1" applyFill="1" applyBorder="1" applyAlignment="1">
      <alignment vertical="center" shrinkToFit="1"/>
      <protection/>
    </xf>
    <xf numFmtId="0" fontId="0" fillId="13" borderId="0" xfId="0" applyFill="1" applyAlignment="1">
      <alignment/>
    </xf>
    <xf numFmtId="179" fontId="22" fillId="13" borderId="33" xfId="0" applyNumberFormat="1" applyFont="1" applyFill="1" applyBorder="1" applyAlignment="1">
      <alignment horizontal="right" vertical="top"/>
    </xf>
    <xf numFmtId="183" fontId="19" fillId="13" borderId="23" xfId="336" applyNumberFormat="1" applyFont="1" applyFill="1" applyBorder="1" applyAlignment="1">
      <alignment vertical="center" shrinkToFit="1"/>
      <protection/>
    </xf>
    <xf numFmtId="179" fontId="19" fillId="13" borderId="24" xfId="319" applyNumberFormat="1" applyFont="1" applyFill="1" applyBorder="1" applyAlignment="1">
      <alignment horizontal="center" vertical="center" wrapText="1"/>
      <protection/>
    </xf>
    <xf numFmtId="182" fontId="22" fillId="0" borderId="33" xfId="0" applyNumberFormat="1" applyFont="1" applyFill="1" applyBorder="1" applyAlignment="1">
      <alignment horizontal="right" vertical="top"/>
    </xf>
    <xf numFmtId="0" fontId="19" fillId="40" borderId="23" xfId="0" applyFont="1" applyFill="1" applyBorder="1" applyAlignment="1">
      <alignment/>
    </xf>
    <xf numFmtId="181" fontId="19" fillId="40" borderId="23" xfId="0" applyNumberFormat="1" applyFont="1" applyFill="1" applyBorder="1" applyAlignment="1">
      <alignment horizontal="right" vertical="center" shrinkToFit="1"/>
    </xf>
    <xf numFmtId="0" fontId="19" fillId="13" borderId="23" xfId="0" applyFont="1" applyFill="1" applyBorder="1" applyAlignment="1">
      <alignment/>
    </xf>
    <xf numFmtId="179" fontId="22" fillId="40" borderId="33" xfId="0" applyNumberFormat="1" applyFont="1" applyFill="1" applyBorder="1" applyAlignment="1">
      <alignment horizontal="right" vertical="top"/>
    </xf>
    <xf numFmtId="183" fontId="19" fillId="9" borderId="23" xfId="336" applyNumberFormat="1" applyFont="1" applyFill="1" applyBorder="1" applyAlignment="1">
      <alignment vertical="center" shrinkToFit="1"/>
      <protection/>
    </xf>
    <xf numFmtId="179" fontId="22" fillId="13" borderId="31" xfId="0" applyNumberFormat="1" applyFont="1" applyFill="1" applyBorder="1" applyAlignment="1">
      <alignment horizontal="right" vertical="top"/>
    </xf>
    <xf numFmtId="183" fontId="22" fillId="13" borderId="33" xfId="0" applyNumberFormat="1" applyFont="1" applyFill="1" applyBorder="1" applyAlignment="1">
      <alignment horizontal="right" vertical="top"/>
    </xf>
    <xf numFmtId="186" fontId="19" fillId="9" borderId="0" xfId="318" applyNumberFormat="1" applyFont="1" applyFill="1" applyAlignment="1">
      <alignment vertical="center"/>
      <protection/>
    </xf>
    <xf numFmtId="0" fontId="19" fillId="9" borderId="0" xfId="318" applyFont="1" applyFill="1" applyAlignment="1">
      <alignment vertical="center" wrapText="1"/>
      <protection/>
    </xf>
    <xf numFmtId="182" fontId="22" fillId="13" borderId="33" xfId="0" applyNumberFormat="1" applyFont="1" applyFill="1" applyBorder="1" applyAlignment="1">
      <alignment horizontal="right" vertical="top"/>
    </xf>
    <xf numFmtId="186" fontId="19" fillId="13" borderId="0" xfId="318" applyNumberFormat="1" applyFont="1" applyFill="1" applyAlignment="1">
      <alignment vertical="center"/>
      <protection/>
    </xf>
    <xf numFmtId="180" fontId="19" fillId="9" borderId="0" xfId="319" applyNumberFormat="1" applyFont="1" applyFill="1" applyBorder="1" applyAlignment="1">
      <alignment horizontal="center" vertical="center" wrapText="1"/>
      <protection/>
    </xf>
    <xf numFmtId="0" fontId="23" fillId="9" borderId="0" xfId="319" applyNumberFormat="1" applyFont="1" applyFill="1" applyBorder="1" applyAlignment="1">
      <alignment horizontal="center" vertical="center" wrapText="1" shrinkToFit="1"/>
      <protection/>
    </xf>
    <xf numFmtId="180" fontId="19" fillId="9" borderId="0" xfId="336" applyNumberFormat="1" applyFont="1" applyFill="1" applyBorder="1" applyAlignment="1">
      <alignment vertical="center" shrinkToFit="1"/>
      <protection/>
    </xf>
    <xf numFmtId="183" fontId="19" fillId="13" borderId="0" xfId="336" applyNumberFormat="1" applyFont="1" applyFill="1" applyBorder="1" applyAlignment="1">
      <alignment vertical="center" shrinkToFit="1"/>
      <protection/>
    </xf>
    <xf numFmtId="183" fontId="19" fillId="9" borderId="0" xfId="336" applyNumberFormat="1" applyFont="1" applyFill="1" applyBorder="1" applyAlignment="1">
      <alignment vertical="center" shrinkToFit="1"/>
      <protection/>
    </xf>
    <xf numFmtId="180" fontId="20" fillId="9" borderId="0" xfId="319" applyNumberFormat="1" applyFont="1" applyFill="1" applyBorder="1" applyAlignment="1">
      <alignment horizontal="right" vertical="center" shrinkToFit="1"/>
      <protection/>
    </xf>
    <xf numFmtId="183" fontId="20" fillId="9" borderId="23" xfId="319" applyNumberFormat="1" applyFont="1" applyFill="1" applyBorder="1" applyAlignment="1">
      <alignment horizontal="right" vertical="center" shrinkToFit="1"/>
      <protection/>
    </xf>
    <xf numFmtId="186" fontId="19" fillId="0" borderId="0" xfId="318" applyNumberFormat="1" applyFont="1" applyFill="1" applyAlignment="1">
      <alignment vertical="center"/>
      <protection/>
    </xf>
    <xf numFmtId="183" fontId="20" fillId="9" borderId="0" xfId="319" applyNumberFormat="1" applyFont="1" applyFill="1" applyBorder="1" applyAlignment="1">
      <alignment horizontal="right" vertical="center" shrinkToFit="1"/>
      <protection/>
    </xf>
    <xf numFmtId="179" fontId="19" fillId="13" borderId="0" xfId="336" applyNumberFormat="1" applyFont="1" applyFill="1" applyBorder="1" applyAlignment="1">
      <alignment vertical="center" shrinkToFit="1"/>
      <protection/>
    </xf>
    <xf numFmtId="183" fontId="19" fillId="0" borderId="23" xfId="336" applyNumberFormat="1" applyFont="1" applyFill="1" applyBorder="1" applyAlignment="1">
      <alignment vertical="center" shrinkToFit="1"/>
      <protection/>
    </xf>
    <xf numFmtId="0" fontId="19" fillId="0" borderId="0" xfId="318" applyFont="1" applyFill="1" applyAlignment="1">
      <alignment vertical="center"/>
      <protection/>
    </xf>
    <xf numFmtId="180" fontId="19" fillId="0" borderId="23" xfId="336" applyNumberFormat="1" applyFont="1" applyFill="1" applyBorder="1" applyAlignment="1">
      <alignment vertical="center" shrinkToFit="1"/>
      <protection/>
    </xf>
    <xf numFmtId="0" fontId="21" fillId="0" borderId="0" xfId="336" applyFont="1" applyFill="1" applyBorder="1" applyAlignment="1">
      <alignment horizontal="center" vertical="center" shrinkToFit="1"/>
      <protection/>
    </xf>
    <xf numFmtId="9" fontId="21" fillId="0" borderId="0" xfId="361" applyFont="1" applyFill="1" applyBorder="1" applyAlignment="1">
      <alignment vertical="center" shrinkToFit="1"/>
    </xf>
    <xf numFmtId="179" fontId="19" fillId="0" borderId="0" xfId="319" applyNumberFormat="1" applyFont="1" applyFill="1" applyAlignment="1">
      <alignment vertical="center" wrapText="1"/>
      <protection/>
    </xf>
    <xf numFmtId="179" fontId="25" fillId="0" borderId="0" xfId="0" applyNumberFormat="1" applyFont="1" applyFill="1" applyAlignment="1">
      <alignment horizontal="center" vertical="center" wrapText="1"/>
    </xf>
    <xf numFmtId="179" fontId="19" fillId="0" borderId="0" xfId="0" applyNumberFormat="1" applyFont="1" applyFill="1" applyAlignment="1">
      <alignment vertical="center" wrapText="1"/>
    </xf>
    <xf numFmtId="179" fontId="19" fillId="9" borderId="34" xfId="319" applyNumberFormat="1" applyFont="1" applyFill="1" applyBorder="1" applyAlignment="1">
      <alignment horizontal="center" vertical="center" wrapText="1"/>
      <protection/>
    </xf>
    <xf numFmtId="179" fontId="19" fillId="9" borderId="35" xfId="319" applyNumberFormat="1" applyFont="1" applyFill="1" applyBorder="1" applyAlignment="1">
      <alignment horizontal="center" vertical="center" wrapText="1"/>
      <protection/>
    </xf>
    <xf numFmtId="0" fontId="23" fillId="9" borderId="26" xfId="319" applyNumberFormat="1" applyFont="1" applyFill="1" applyBorder="1" applyAlignment="1">
      <alignment horizontal="center" vertical="center" wrapText="1" shrinkToFit="1"/>
      <protection/>
    </xf>
    <xf numFmtId="179" fontId="19" fillId="9" borderId="26" xfId="319" applyNumberFormat="1" applyFont="1" applyFill="1" applyBorder="1" applyAlignment="1">
      <alignment horizontal="left" vertical="center" shrinkToFit="1"/>
      <protection/>
    </xf>
    <xf numFmtId="179" fontId="19" fillId="0" borderId="26" xfId="319" applyNumberFormat="1" applyFont="1" applyFill="1" applyBorder="1" applyAlignment="1">
      <alignment horizontal="left" vertical="center" shrinkToFit="1"/>
      <protection/>
    </xf>
    <xf numFmtId="0" fontId="23" fillId="9" borderId="23" xfId="318" applyFont="1" applyFill="1" applyBorder="1" applyAlignment="1">
      <alignment vertical="center"/>
      <protection/>
    </xf>
    <xf numFmtId="0" fontId="20" fillId="9" borderId="23" xfId="318" applyFont="1" applyFill="1" applyBorder="1" applyAlignment="1">
      <alignment vertical="center"/>
      <protection/>
    </xf>
    <xf numFmtId="179" fontId="23" fillId="0" borderId="24" xfId="319" applyNumberFormat="1" applyFont="1" applyFill="1" applyBorder="1" applyAlignment="1">
      <alignment horizontal="center" vertical="center" shrinkToFit="1"/>
      <protection/>
    </xf>
    <xf numFmtId="0" fontId="23" fillId="9" borderId="24" xfId="319" applyNumberFormat="1" applyFont="1" applyFill="1" applyBorder="1" applyAlignment="1">
      <alignment horizontal="center" vertical="center" wrapText="1" shrinkToFit="1"/>
      <protection/>
    </xf>
    <xf numFmtId="180" fontId="19" fillId="9" borderId="23" xfId="319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180" fontId="20" fillId="9" borderId="24" xfId="319" applyNumberFormat="1" applyFont="1" applyFill="1" applyBorder="1" applyAlignment="1">
      <alignment horizontal="center" vertical="center" wrapText="1"/>
      <protection/>
    </xf>
    <xf numFmtId="179" fontId="20" fillId="9" borderId="24" xfId="319" applyNumberFormat="1" applyFont="1" applyFill="1" applyBorder="1" applyAlignment="1">
      <alignment horizontal="center" vertical="center" wrapText="1"/>
      <protection/>
    </xf>
    <xf numFmtId="180" fontId="19" fillId="40" borderId="25" xfId="319" applyNumberFormat="1" applyFont="1" applyFill="1" applyBorder="1" applyAlignment="1">
      <alignment horizontal="center" vertical="center" wrapText="1"/>
      <protection/>
    </xf>
    <xf numFmtId="0" fontId="23" fillId="40" borderId="23" xfId="319" applyNumberFormat="1" applyFont="1" applyFill="1" applyBorder="1" applyAlignment="1">
      <alignment horizontal="center" vertical="center" wrapText="1" shrinkToFit="1"/>
      <protection/>
    </xf>
    <xf numFmtId="180" fontId="20" fillId="0" borderId="24" xfId="319" applyNumberFormat="1" applyFont="1" applyFill="1" applyBorder="1" applyAlignment="1">
      <alignment horizontal="center" vertical="center" wrapText="1"/>
      <protection/>
    </xf>
    <xf numFmtId="0" fontId="23" fillId="0" borderId="23" xfId="319" applyNumberFormat="1" applyFont="1" applyFill="1" applyBorder="1" applyAlignment="1">
      <alignment horizontal="center" vertical="center" wrapText="1" shrinkToFit="1"/>
      <protection/>
    </xf>
    <xf numFmtId="179" fontId="19" fillId="40" borderId="24" xfId="319" applyNumberFormat="1" applyFont="1" applyFill="1" applyBorder="1" applyAlignment="1">
      <alignment horizontal="center" vertical="center" wrapText="1"/>
      <protection/>
    </xf>
    <xf numFmtId="184" fontId="19" fillId="9" borderId="23" xfId="336" applyNumberFormat="1" applyFont="1" applyFill="1" applyBorder="1" applyAlignment="1">
      <alignment vertical="center" shrinkToFit="1"/>
      <protection/>
    </xf>
    <xf numFmtId="180" fontId="19" fillId="9" borderId="0" xfId="318" applyNumberFormat="1" applyFont="1" applyFill="1" applyAlignment="1">
      <alignment horizontal="left" vertical="center"/>
      <protection/>
    </xf>
    <xf numFmtId="0" fontId="23" fillId="40" borderId="24" xfId="319" applyNumberFormat="1" applyFont="1" applyFill="1" applyBorder="1" applyAlignment="1">
      <alignment horizontal="center" vertical="center" wrapText="1" shrinkToFit="1"/>
      <protection/>
    </xf>
    <xf numFmtId="0" fontId="19" fillId="0" borderId="0" xfId="319" applyFont="1" applyFill="1" applyAlignment="1">
      <alignment vertical="center"/>
      <protection/>
    </xf>
    <xf numFmtId="0" fontId="21" fillId="6" borderId="0" xfId="336" applyFont="1" applyFill="1" applyBorder="1" applyAlignment="1">
      <alignment horizontal="center" vertical="center" shrinkToFit="1"/>
      <protection/>
    </xf>
    <xf numFmtId="0" fontId="2" fillId="6" borderId="24" xfId="0" applyFont="1" applyFill="1" applyBorder="1" applyAlignment="1">
      <alignment horizontal="center" vertical="center" wrapText="1"/>
    </xf>
    <xf numFmtId="0" fontId="23" fillId="6" borderId="23" xfId="319" applyNumberFormat="1" applyFont="1" applyFill="1" applyBorder="1" applyAlignment="1">
      <alignment horizontal="center" vertical="center" wrapText="1" shrinkToFit="1"/>
      <protection/>
    </xf>
    <xf numFmtId="0" fontId="19" fillId="6" borderId="0" xfId="319" applyFont="1" applyFill="1" applyAlignment="1">
      <alignment vertical="center"/>
      <protection/>
    </xf>
    <xf numFmtId="179" fontId="25" fillId="6" borderId="0" xfId="0" applyNumberFormat="1" applyFont="1" applyFill="1" applyAlignment="1">
      <alignment horizontal="center" vertical="center" wrapText="1"/>
    </xf>
    <xf numFmtId="179" fontId="19" fillId="6" borderId="0" xfId="0" applyNumberFormat="1" applyFont="1" applyFill="1" applyAlignment="1">
      <alignment vertical="center" wrapText="1"/>
    </xf>
    <xf numFmtId="0" fontId="19" fillId="6" borderId="0" xfId="318" applyFont="1" applyFill="1" applyAlignment="1">
      <alignment vertical="center"/>
      <protection/>
    </xf>
    <xf numFmtId="180" fontId="20" fillId="6" borderId="24" xfId="319" applyNumberFormat="1" applyFont="1" applyFill="1" applyBorder="1" applyAlignment="1">
      <alignment horizontal="center" vertical="center" wrapText="1"/>
      <protection/>
    </xf>
    <xf numFmtId="0" fontId="19" fillId="0" borderId="23" xfId="318" applyFont="1" applyFill="1" applyBorder="1" applyAlignment="1">
      <alignment vertical="center"/>
      <protection/>
    </xf>
    <xf numFmtId="0" fontId="21" fillId="41" borderId="0" xfId="336" applyFont="1" applyFill="1" applyBorder="1" applyAlignment="1">
      <alignment horizontal="center" vertical="center" shrinkToFit="1"/>
      <protection/>
    </xf>
    <xf numFmtId="0" fontId="19" fillId="41" borderId="0" xfId="319" applyFont="1" applyFill="1" applyAlignment="1">
      <alignment vertical="center"/>
      <protection/>
    </xf>
    <xf numFmtId="179" fontId="25" fillId="41" borderId="0" xfId="0" applyNumberFormat="1" applyFont="1" applyFill="1" applyAlignment="1">
      <alignment horizontal="center" vertical="center" wrapText="1"/>
    </xf>
    <xf numFmtId="179" fontId="19" fillId="41" borderId="0" xfId="0" applyNumberFormat="1" applyFont="1" applyFill="1" applyAlignment="1">
      <alignment vertical="center" wrapText="1"/>
    </xf>
    <xf numFmtId="0" fontId="19" fillId="41" borderId="0" xfId="318" applyFont="1" applyFill="1" applyAlignment="1">
      <alignment vertical="center"/>
      <protection/>
    </xf>
    <xf numFmtId="185" fontId="19" fillId="6" borderId="24" xfId="338" applyNumberFormat="1" applyFont="1" applyFill="1" applyBorder="1" applyAlignment="1">
      <alignment vertical="center"/>
      <protection/>
    </xf>
    <xf numFmtId="185" fontId="19" fillId="6" borderId="23" xfId="338" applyNumberFormat="1" applyFont="1" applyFill="1" applyBorder="1" applyAlignment="1">
      <alignment vertical="center"/>
      <protection/>
    </xf>
    <xf numFmtId="185" fontId="19" fillId="6" borderId="36" xfId="338" applyNumberFormat="1" applyFont="1" applyFill="1" applyBorder="1" applyAlignment="1">
      <alignment vertical="center"/>
      <protection/>
    </xf>
    <xf numFmtId="185" fontId="19" fillId="0" borderId="23" xfId="337" applyNumberFormat="1" applyFont="1" applyFill="1" applyBorder="1" applyAlignment="1">
      <alignment vertical="center"/>
      <protection/>
    </xf>
    <xf numFmtId="185" fontId="19" fillId="0" borderId="23" xfId="338" applyNumberFormat="1" applyFont="1" applyFill="1" applyBorder="1" applyAlignment="1">
      <alignment vertical="center"/>
      <protection/>
    </xf>
    <xf numFmtId="185" fontId="19" fillId="0" borderId="24" xfId="338" applyNumberFormat="1" applyFont="1" applyFill="1" applyBorder="1" applyAlignment="1">
      <alignment vertical="center"/>
      <protection/>
    </xf>
    <xf numFmtId="185" fontId="19" fillId="0" borderId="36" xfId="338" applyNumberFormat="1" applyFont="1" applyFill="1" applyBorder="1" applyAlignment="1">
      <alignment vertical="center"/>
      <protection/>
    </xf>
    <xf numFmtId="180" fontId="20" fillId="0" borderId="36" xfId="319" applyNumberFormat="1" applyFont="1" applyFill="1" applyBorder="1" applyAlignment="1">
      <alignment horizontal="center" vertical="center" wrapText="1"/>
      <protection/>
    </xf>
    <xf numFmtId="179" fontId="20" fillId="0" borderId="23" xfId="319" applyNumberFormat="1" applyFont="1" applyFill="1" applyBorder="1" applyAlignment="1">
      <alignment horizontal="center" vertical="center" wrapText="1"/>
      <protection/>
    </xf>
    <xf numFmtId="181" fontId="19" fillId="0" borderId="23" xfId="0" applyNumberFormat="1" applyFont="1" applyFill="1" applyBorder="1" applyAlignment="1">
      <alignment/>
    </xf>
    <xf numFmtId="180" fontId="19" fillId="2" borderId="25" xfId="319" applyNumberFormat="1" applyFont="1" applyFill="1" applyBorder="1" applyAlignment="1">
      <alignment horizontal="center" vertical="center" wrapText="1"/>
      <protection/>
    </xf>
    <xf numFmtId="180" fontId="19" fillId="2" borderId="24" xfId="319" applyNumberFormat="1" applyFont="1" applyFill="1" applyBorder="1" applyAlignment="1">
      <alignment horizontal="center" vertical="center" wrapText="1"/>
      <protection/>
    </xf>
    <xf numFmtId="180" fontId="20" fillId="2" borderId="36" xfId="319" applyNumberFormat="1" applyFont="1" applyFill="1" applyBorder="1" applyAlignment="1">
      <alignment horizontal="center" vertical="center" wrapText="1"/>
      <protection/>
    </xf>
    <xf numFmtId="0" fontId="23" fillId="2" borderId="23" xfId="319" applyNumberFormat="1" applyFont="1" applyFill="1" applyBorder="1" applyAlignment="1">
      <alignment horizontal="center" vertical="center" wrapText="1" shrinkToFit="1"/>
      <protection/>
    </xf>
    <xf numFmtId="185" fontId="19" fillId="2" borderId="23" xfId="338" applyNumberFormat="1" applyFont="1" applyFill="1" applyBorder="1" applyAlignment="1">
      <alignment vertical="center"/>
      <protection/>
    </xf>
    <xf numFmtId="0" fontId="0" fillId="0" borderId="23" xfId="0" applyBorder="1" applyAlignment="1">
      <alignment vertical="center" wrapText="1"/>
    </xf>
    <xf numFmtId="180" fontId="19" fillId="0" borderId="27" xfId="319" applyNumberFormat="1" applyFont="1" applyFill="1" applyBorder="1" applyAlignment="1">
      <alignment vertical="center" wrapText="1"/>
      <protection/>
    </xf>
    <xf numFmtId="181" fontId="20" fillId="9" borderId="23" xfId="319" applyNumberFormat="1" applyFont="1" applyFill="1" applyBorder="1" applyAlignment="1">
      <alignment horizontal="right" vertical="center" shrinkToFit="1"/>
      <protection/>
    </xf>
    <xf numFmtId="181" fontId="20" fillId="0" borderId="23" xfId="319" applyNumberFormat="1" applyFont="1" applyFill="1" applyBorder="1" applyAlignment="1">
      <alignment horizontal="right" vertical="center" shrinkToFit="1"/>
      <protection/>
    </xf>
    <xf numFmtId="181" fontId="20" fillId="6" borderId="23" xfId="319" applyNumberFormat="1" applyFont="1" applyFill="1" applyBorder="1" applyAlignment="1">
      <alignment horizontal="right" vertical="center" shrinkToFit="1"/>
      <protection/>
    </xf>
    <xf numFmtId="181" fontId="20" fillId="2" borderId="23" xfId="319" applyNumberFormat="1" applyFont="1" applyFill="1" applyBorder="1" applyAlignment="1">
      <alignment horizontal="right" vertical="center" shrinkToFit="1"/>
      <protection/>
    </xf>
    <xf numFmtId="17" fontId="23" fillId="0" borderId="23" xfId="319" applyNumberFormat="1" applyFont="1" applyFill="1" applyBorder="1" applyAlignment="1">
      <alignment horizontal="center" vertical="center" wrapText="1" shrinkToFit="1"/>
      <protection/>
    </xf>
    <xf numFmtId="179" fontId="20" fillId="0" borderId="33" xfId="319" applyNumberFormat="1" applyFont="1" applyFill="1" applyBorder="1" applyAlignment="1">
      <alignment horizontal="center" vertical="center" wrapText="1"/>
      <protection/>
    </xf>
    <xf numFmtId="181" fontId="27" fillId="0" borderId="37" xfId="0" applyNumberFormat="1" applyFont="1" applyBorder="1" applyAlignment="1">
      <alignment horizontal="right" vertical="center" wrapText="1"/>
    </xf>
    <xf numFmtId="0" fontId="21" fillId="5" borderId="0" xfId="336" applyFont="1" applyFill="1" applyBorder="1" applyAlignment="1">
      <alignment horizontal="center" vertical="center" shrinkToFit="1"/>
      <protection/>
    </xf>
    <xf numFmtId="180" fontId="19" fillId="5" borderId="24" xfId="319" applyNumberFormat="1" applyFont="1" applyFill="1" applyBorder="1" applyAlignment="1">
      <alignment horizontal="center" vertical="center" wrapText="1"/>
      <protection/>
    </xf>
    <xf numFmtId="179" fontId="20" fillId="5" borderId="35" xfId="319" applyNumberFormat="1" applyFont="1" applyFill="1" applyBorder="1" applyAlignment="1">
      <alignment horizontal="center" vertical="center" wrapText="1"/>
      <protection/>
    </xf>
    <xf numFmtId="0" fontId="23" fillId="5" borderId="23" xfId="319" applyNumberFormat="1" applyFont="1" applyFill="1" applyBorder="1" applyAlignment="1">
      <alignment horizontal="center" vertical="center" wrapText="1" shrinkToFit="1"/>
      <protection/>
    </xf>
    <xf numFmtId="185" fontId="19" fillId="5" borderId="23" xfId="338" applyNumberFormat="1" applyFont="1" applyFill="1" applyBorder="1" applyAlignment="1">
      <alignment vertical="center"/>
      <protection/>
    </xf>
    <xf numFmtId="181" fontId="20" fillId="5" borderId="23" xfId="319" applyNumberFormat="1" applyFont="1" applyFill="1" applyBorder="1" applyAlignment="1">
      <alignment horizontal="right" vertical="center" shrinkToFit="1"/>
      <protection/>
    </xf>
    <xf numFmtId="0" fontId="19" fillId="5" borderId="0" xfId="319" applyFont="1" applyFill="1" applyAlignment="1">
      <alignment vertical="center"/>
      <protection/>
    </xf>
    <xf numFmtId="179" fontId="25" fillId="5" borderId="0" xfId="0" applyNumberFormat="1" applyFont="1" applyFill="1" applyAlignment="1">
      <alignment horizontal="center" vertical="center" wrapText="1"/>
    </xf>
    <xf numFmtId="179" fontId="19" fillId="5" borderId="0" xfId="0" applyNumberFormat="1" applyFont="1" applyFill="1" applyAlignment="1">
      <alignment vertical="center" wrapText="1"/>
    </xf>
    <xf numFmtId="0" fontId="19" fillId="5" borderId="0" xfId="318" applyFont="1" applyFill="1" applyAlignment="1">
      <alignment vertical="center"/>
      <protection/>
    </xf>
    <xf numFmtId="0" fontId="19" fillId="0" borderId="23" xfId="318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179" fontId="20" fillId="0" borderId="35" xfId="319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vertical="center" wrapText="1"/>
    </xf>
    <xf numFmtId="0" fontId="23" fillId="0" borderId="0" xfId="318" applyFont="1" applyFill="1" applyAlignment="1">
      <alignment vertical="center"/>
      <protection/>
    </xf>
    <xf numFmtId="0" fontId="20" fillId="0" borderId="0" xfId="318" applyFont="1" applyFill="1" applyAlignment="1">
      <alignment vertical="center"/>
      <protection/>
    </xf>
    <xf numFmtId="181" fontId="27" fillId="0" borderId="23" xfId="0" applyNumberFormat="1" applyFont="1" applyFill="1" applyBorder="1" applyAlignment="1">
      <alignment horizontal="right" vertical="center" wrapText="1"/>
    </xf>
    <xf numFmtId="181" fontId="19" fillId="0" borderId="0" xfId="318" applyNumberFormat="1" applyFont="1" applyFill="1" applyAlignment="1">
      <alignment vertical="center"/>
      <protection/>
    </xf>
    <xf numFmtId="181" fontId="20" fillId="0" borderId="0" xfId="318" applyNumberFormat="1" applyFont="1" applyFill="1" applyAlignment="1">
      <alignment vertical="center"/>
      <protection/>
    </xf>
    <xf numFmtId="180" fontId="28" fillId="0" borderId="23" xfId="336" applyNumberFormat="1" applyFont="1" applyFill="1" applyBorder="1" applyAlignment="1">
      <alignment vertical="center" shrinkToFit="1"/>
      <protection/>
    </xf>
    <xf numFmtId="0" fontId="28" fillId="0" borderId="23" xfId="318" applyFont="1" applyFill="1" applyBorder="1" applyAlignment="1">
      <alignment vertical="center"/>
      <protection/>
    </xf>
    <xf numFmtId="0" fontId="28" fillId="0" borderId="0" xfId="318" applyFont="1" applyFill="1" applyAlignment="1">
      <alignment vertical="center"/>
      <protection/>
    </xf>
    <xf numFmtId="0" fontId="29" fillId="0" borderId="23" xfId="318" applyFont="1" applyFill="1" applyBorder="1" applyAlignment="1">
      <alignment vertical="center"/>
      <protection/>
    </xf>
    <xf numFmtId="0" fontId="29" fillId="0" borderId="0" xfId="318" applyFont="1" applyFill="1" applyAlignment="1">
      <alignment vertical="center"/>
      <protection/>
    </xf>
    <xf numFmtId="182" fontId="28" fillId="0" borderId="23" xfId="336" applyNumberFormat="1" applyFont="1" applyFill="1" applyBorder="1" applyAlignment="1">
      <alignment vertical="center" shrinkToFit="1"/>
      <protection/>
    </xf>
    <xf numFmtId="179" fontId="28" fillId="0" borderId="23" xfId="319" applyNumberFormat="1" applyFont="1" applyFill="1" applyBorder="1" applyAlignment="1">
      <alignment horizontal="left" vertical="center" shrinkToFit="1"/>
      <protection/>
    </xf>
    <xf numFmtId="179" fontId="29" fillId="0" borderId="23" xfId="319" applyNumberFormat="1" applyFont="1" applyFill="1" applyBorder="1" applyAlignment="1">
      <alignment vertical="center" shrinkToFit="1"/>
      <protection/>
    </xf>
    <xf numFmtId="179" fontId="28" fillId="0" borderId="23" xfId="319" applyNumberFormat="1" applyFont="1" applyFill="1" applyBorder="1" applyAlignment="1">
      <alignment horizontal="center" vertical="center" wrapText="1"/>
      <protection/>
    </xf>
    <xf numFmtId="0" fontId="28" fillId="0" borderId="23" xfId="0" applyFont="1" applyFill="1" applyBorder="1" applyAlignment="1">
      <alignment horizontal="center" vertical="center" wrapText="1"/>
    </xf>
    <xf numFmtId="180" fontId="28" fillId="0" borderId="23" xfId="319" applyNumberFormat="1" applyFont="1" applyFill="1" applyBorder="1" applyAlignment="1">
      <alignment horizontal="center" vertical="center" wrapText="1"/>
      <protection/>
    </xf>
    <xf numFmtId="180" fontId="29" fillId="0" borderId="23" xfId="319" applyNumberFormat="1" applyFont="1" applyFill="1" applyBorder="1" applyAlignment="1">
      <alignment horizontal="center" vertical="center" wrapText="1"/>
      <protection/>
    </xf>
    <xf numFmtId="0" fontId="28" fillId="0" borderId="23" xfId="319" applyNumberFormat="1" applyFont="1" applyFill="1" applyBorder="1" applyAlignment="1">
      <alignment horizontal="center" vertical="center" wrapText="1" shrinkToFit="1"/>
      <protection/>
    </xf>
    <xf numFmtId="0" fontId="28" fillId="0" borderId="0" xfId="319" applyFont="1" applyFill="1" applyAlignment="1">
      <alignment vertical="center"/>
      <protection/>
    </xf>
    <xf numFmtId="0" fontId="28" fillId="0" borderId="0" xfId="319" applyFont="1" applyFill="1" applyBorder="1" applyAlignment="1">
      <alignment vertical="center"/>
      <protection/>
    </xf>
    <xf numFmtId="14" fontId="28" fillId="0" borderId="0" xfId="318" applyNumberFormat="1" applyFont="1" applyFill="1" applyAlignment="1">
      <alignment vertical="center"/>
      <protection/>
    </xf>
    <xf numFmtId="0" fontId="28" fillId="0" borderId="0" xfId="318" applyFont="1" applyFill="1" applyBorder="1" applyAlignment="1">
      <alignment vertical="center"/>
      <protection/>
    </xf>
    <xf numFmtId="183" fontId="28" fillId="0" borderId="23" xfId="336" applyNumberFormat="1" applyFont="1" applyFill="1" applyBorder="1" applyAlignment="1">
      <alignment vertical="center" shrinkToFit="1"/>
      <protection/>
    </xf>
    <xf numFmtId="0" fontId="29" fillId="0" borderId="23" xfId="0" applyFont="1" applyFill="1" applyBorder="1" applyAlignment="1">
      <alignment horizontal="center" vertical="center" wrapText="1"/>
    </xf>
    <xf numFmtId="185" fontId="28" fillId="0" borderId="23" xfId="332" applyNumberFormat="1" applyFont="1" applyFill="1" applyBorder="1" applyAlignment="1">
      <alignment vertical="center"/>
      <protection/>
    </xf>
    <xf numFmtId="0" fontId="28" fillId="0" borderId="23" xfId="332" applyFont="1" applyFill="1" applyBorder="1">
      <alignment/>
      <protection/>
    </xf>
    <xf numFmtId="185" fontId="29" fillId="0" borderId="23" xfId="319" applyNumberFormat="1" applyFont="1" applyFill="1" applyBorder="1" applyAlignment="1">
      <alignment horizontal="right" vertical="center" shrinkToFit="1"/>
      <protection/>
    </xf>
    <xf numFmtId="181" fontId="28" fillId="0" borderId="0" xfId="319" applyNumberFormat="1" applyFont="1" applyFill="1" applyAlignment="1">
      <alignment vertical="center"/>
      <protection/>
    </xf>
    <xf numFmtId="185" fontId="28" fillId="0" borderId="0" xfId="318" applyNumberFormat="1" applyFont="1" applyFill="1" applyAlignment="1">
      <alignment vertical="center"/>
      <protection/>
    </xf>
    <xf numFmtId="181" fontId="28" fillId="0" borderId="0" xfId="318" applyNumberFormat="1" applyFont="1" applyFill="1" applyBorder="1" applyAlignment="1">
      <alignment vertical="center"/>
      <protection/>
    </xf>
    <xf numFmtId="181" fontId="28" fillId="0" borderId="23" xfId="332" applyNumberFormat="1" applyFont="1" applyFill="1" applyBorder="1" applyAlignment="1">
      <alignment vertical="center"/>
      <protection/>
    </xf>
    <xf numFmtId="0" fontId="28" fillId="0" borderId="23" xfId="341" applyFont="1" applyFill="1" applyBorder="1">
      <alignment/>
      <protection/>
    </xf>
    <xf numFmtId="181" fontId="28" fillId="0" borderId="23" xfId="195" applyNumberFormat="1" applyFont="1" applyFill="1" applyBorder="1" applyAlignment="1" applyProtection="1">
      <alignment shrinkToFit="1"/>
      <protection locked="0"/>
    </xf>
    <xf numFmtId="179" fontId="29" fillId="0" borderId="23" xfId="319" applyNumberFormat="1" applyFont="1" applyFill="1" applyBorder="1" applyAlignment="1">
      <alignment horizontal="center" vertical="center" wrapText="1"/>
      <protection/>
    </xf>
    <xf numFmtId="179" fontId="28" fillId="0" borderId="23" xfId="319" applyNumberFormat="1" applyFont="1" applyFill="1" applyBorder="1" applyAlignment="1">
      <alignment horizontal="center" vertical="center" shrinkToFit="1"/>
      <protection/>
    </xf>
    <xf numFmtId="2" fontId="28" fillId="0" borderId="23" xfId="318" applyNumberFormat="1" applyFont="1" applyFill="1" applyBorder="1" applyAlignment="1">
      <alignment vertical="center"/>
      <protection/>
    </xf>
    <xf numFmtId="180" fontId="28" fillId="0" borderId="24" xfId="319" applyNumberFormat="1" applyFont="1" applyFill="1" applyBorder="1" applyAlignment="1">
      <alignment horizontal="center" vertical="center" wrapText="1"/>
      <protection/>
    </xf>
    <xf numFmtId="185" fontId="29" fillId="0" borderId="26" xfId="319" applyNumberFormat="1" applyFont="1" applyFill="1" applyBorder="1" applyAlignment="1">
      <alignment horizontal="right" vertical="center" shrinkToFit="1"/>
      <protection/>
    </xf>
    <xf numFmtId="182" fontId="28" fillId="0" borderId="23" xfId="332" applyNumberFormat="1" applyFont="1" applyFill="1" applyBorder="1" applyAlignment="1" applyProtection="1">
      <alignment horizontal="right" vertical="center" wrapText="1"/>
      <protection/>
    </xf>
    <xf numFmtId="182" fontId="29" fillId="0" borderId="23" xfId="319" applyNumberFormat="1" applyFont="1" applyFill="1" applyBorder="1" applyAlignment="1">
      <alignment horizontal="right" vertical="center" shrinkToFit="1"/>
      <protection/>
    </xf>
    <xf numFmtId="2" fontId="28" fillId="0" borderId="23" xfId="336" applyNumberFormat="1" applyFont="1" applyFill="1" applyBorder="1" applyAlignment="1">
      <alignment vertical="center" shrinkToFit="1"/>
      <protection/>
    </xf>
    <xf numFmtId="0" fontId="28" fillId="0" borderId="23" xfId="318" applyFont="1" applyFill="1" applyBorder="1" applyAlignment="1">
      <alignment horizontal="center" vertical="center" wrapText="1"/>
      <protection/>
    </xf>
    <xf numFmtId="180" fontId="29" fillId="0" borderId="29" xfId="319" applyNumberFormat="1" applyFont="1" applyFill="1" applyBorder="1" applyAlignment="1">
      <alignment horizontal="center" vertical="center" wrapText="1"/>
      <protection/>
    </xf>
    <xf numFmtId="183" fontId="28" fillId="0" borderId="0" xfId="318" applyNumberFormat="1" applyFont="1" applyFill="1" applyBorder="1" applyAlignment="1">
      <alignment vertical="center"/>
      <protection/>
    </xf>
    <xf numFmtId="182" fontId="28" fillId="0" borderId="0" xfId="319" applyNumberFormat="1" applyFont="1" applyFill="1" applyAlignment="1">
      <alignment vertical="center" wrapText="1"/>
      <protection/>
    </xf>
    <xf numFmtId="2" fontId="28" fillId="0" borderId="0" xfId="318" applyNumberFormat="1" applyFont="1" applyFill="1" applyAlignment="1">
      <alignment vertical="center"/>
      <protection/>
    </xf>
    <xf numFmtId="182" fontId="29" fillId="0" borderId="24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" fontId="28" fillId="0" borderId="38" xfId="0" applyNumberFormat="1" applyFont="1" applyFill="1" applyBorder="1" applyAlignment="1">
      <alignment horizontal="right"/>
    </xf>
    <xf numFmtId="4" fontId="28" fillId="0" borderId="23" xfId="340" applyNumberFormat="1" applyFont="1" applyFill="1" applyBorder="1">
      <alignment/>
      <protection/>
    </xf>
    <xf numFmtId="4" fontId="28" fillId="0" borderId="39" xfId="0" applyNumberFormat="1" applyFont="1" applyFill="1" applyBorder="1" applyAlignment="1">
      <alignment horizontal="right"/>
    </xf>
    <xf numFmtId="178" fontId="28" fillId="0" borderId="39" xfId="0" applyNumberFormat="1" applyFont="1" applyFill="1" applyBorder="1" applyAlignment="1">
      <alignment horizontal="right"/>
    </xf>
    <xf numFmtId="0" fontId="28" fillId="0" borderId="33" xfId="336" applyFont="1" applyFill="1" applyBorder="1" applyAlignment="1">
      <alignment horizontal="center" vertical="center" wrapText="1" shrinkToFit="1"/>
      <protection/>
    </xf>
    <xf numFmtId="180" fontId="49" fillId="0" borderId="23" xfId="319" applyNumberFormat="1" applyFont="1" applyFill="1" applyBorder="1" applyAlignment="1">
      <alignment horizontal="center" vertical="center" wrapText="1"/>
      <protection/>
    </xf>
    <xf numFmtId="180" fontId="29" fillId="0" borderId="24" xfId="319" applyNumberFormat="1" applyFont="1" applyFill="1" applyBorder="1" applyAlignment="1">
      <alignment horizontal="center" vertical="center" wrapText="1"/>
      <protection/>
    </xf>
    <xf numFmtId="0" fontId="28" fillId="0" borderId="25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 wrapText="1"/>
    </xf>
    <xf numFmtId="0" fontId="0" fillId="0" borderId="33" xfId="0" applyBorder="1" applyAlignment="1">
      <alignment/>
    </xf>
    <xf numFmtId="182" fontId="20" fillId="0" borderId="24" xfId="339" applyNumberFormat="1" applyFont="1" applyFill="1" applyBorder="1" applyAlignment="1">
      <alignment horizontal="right" vertical="center"/>
      <protection/>
    </xf>
    <xf numFmtId="182" fontId="20" fillId="0" borderId="23" xfId="339" applyNumberFormat="1" applyFont="1" applyFill="1" applyBorder="1" applyAlignment="1">
      <alignment horizontal="right" vertical="center"/>
      <protection/>
    </xf>
    <xf numFmtId="22" fontId="0" fillId="0" borderId="0" xfId="0" applyNumberFormat="1" applyAlignment="1">
      <alignment/>
    </xf>
    <xf numFmtId="0" fontId="78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79" fillId="0" borderId="23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left" vertical="center"/>
    </xf>
    <xf numFmtId="4" fontId="55" fillId="0" borderId="23" xfId="0" applyNumberFormat="1" applyFont="1" applyBorder="1" applyAlignment="1">
      <alignment horizontal="right" vertical="center" wrapText="1"/>
    </xf>
    <xf numFmtId="49" fontId="55" fillId="0" borderId="23" xfId="0" applyNumberFormat="1" applyFont="1" applyBorder="1" applyAlignment="1">
      <alignment horizontal="left" vertical="center" wrapText="1"/>
    </xf>
    <xf numFmtId="0" fontId="79" fillId="0" borderId="23" xfId="0" applyFont="1" applyBorder="1" applyAlignment="1">
      <alignment/>
    </xf>
    <xf numFmtId="49" fontId="57" fillId="0" borderId="23" xfId="0" applyNumberFormat="1" applyFont="1" applyBorder="1" applyAlignment="1">
      <alignment horizontal="left"/>
    </xf>
    <xf numFmtId="4" fontId="57" fillId="0" borderId="23" xfId="0" applyNumberFormat="1" applyFont="1" applyBorder="1" applyAlignment="1">
      <alignment horizontal="right"/>
    </xf>
    <xf numFmtId="49" fontId="60" fillId="42" borderId="40" xfId="3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48" fillId="0" borderId="0" xfId="317">
      <alignment/>
      <protection/>
    </xf>
    <xf numFmtId="49" fontId="60" fillId="42" borderId="41" xfId="317" applyNumberFormat="1" applyFont="1" applyFill="1" applyBorder="1" applyAlignment="1">
      <alignment horizontal="center" vertical="center" wrapText="1"/>
      <protection/>
    </xf>
    <xf numFmtId="49" fontId="48" fillId="43" borderId="41" xfId="317" applyNumberFormat="1" applyFont="1" applyFill="1" applyBorder="1" applyAlignment="1">
      <alignment horizontal="left" wrapText="1"/>
      <protection/>
    </xf>
    <xf numFmtId="4" fontId="48" fillId="43" borderId="41" xfId="317" applyNumberFormat="1" applyFont="1" applyFill="1" applyBorder="1" applyAlignment="1">
      <alignment horizontal="right"/>
      <protection/>
    </xf>
    <xf numFmtId="49" fontId="48" fillId="44" borderId="41" xfId="317" applyNumberFormat="1" applyFont="1" applyFill="1" applyBorder="1" applyAlignment="1">
      <alignment horizontal="left" wrapText="1"/>
      <protection/>
    </xf>
    <xf numFmtId="4" fontId="48" fillId="44" borderId="41" xfId="317" applyNumberFormat="1" applyFont="1" applyFill="1" applyBorder="1" applyAlignment="1">
      <alignment horizontal="right"/>
      <protection/>
    </xf>
    <xf numFmtId="4" fontId="48" fillId="43" borderId="41" xfId="317" applyNumberFormat="1" applyFont="1" applyFill="1" applyBorder="1" applyAlignment="1">
      <alignment horizontal="right"/>
      <protection/>
    </xf>
    <xf numFmtId="4" fontId="48" fillId="44" borderId="41" xfId="317" applyNumberFormat="1" applyFont="1" applyFill="1" applyBorder="1" applyAlignment="1">
      <alignment horizontal="right"/>
      <protection/>
    </xf>
    <xf numFmtId="4" fontId="48" fillId="43" borderId="41" xfId="317" applyNumberFormat="1" applyFont="1" applyFill="1" applyBorder="1" applyAlignment="1">
      <alignment horizontal="right"/>
      <protection/>
    </xf>
    <xf numFmtId="4" fontId="48" fillId="44" borderId="41" xfId="317" applyNumberFormat="1" applyFont="1" applyFill="1" applyBorder="1" applyAlignment="1">
      <alignment horizontal="right"/>
      <protection/>
    </xf>
    <xf numFmtId="180" fontId="55" fillId="0" borderId="23" xfId="319" applyNumberFormat="1" applyFont="1" applyFill="1" applyBorder="1" applyAlignment="1">
      <alignment horizontal="center" vertical="center" wrapText="1"/>
      <protection/>
    </xf>
    <xf numFmtId="0" fontId="55" fillId="0" borderId="23" xfId="0" applyFont="1" applyFill="1" applyBorder="1" applyAlignment="1">
      <alignment horizontal="center" vertical="center" wrapText="1"/>
    </xf>
    <xf numFmtId="0" fontId="28" fillId="0" borderId="25" xfId="318" applyFont="1" applyFill="1" applyBorder="1" applyAlignment="1">
      <alignment horizontal="center" vertical="center" wrapText="1"/>
      <protection/>
    </xf>
    <xf numFmtId="0" fontId="55" fillId="0" borderId="0" xfId="318" applyFont="1" applyFill="1" applyAlignment="1">
      <alignment vertical="center"/>
      <protection/>
    </xf>
    <xf numFmtId="180" fontId="50" fillId="0" borderId="23" xfId="319" applyNumberFormat="1" applyFont="1" applyFill="1" applyBorder="1" applyAlignment="1">
      <alignment horizontal="center" vertical="center" wrapText="1"/>
      <protection/>
    </xf>
    <xf numFmtId="0" fontId="53" fillId="0" borderId="26" xfId="0" applyFont="1" applyFill="1" applyBorder="1" applyAlignment="1">
      <alignment horizontal="center" vertical="center" wrapText="1"/>
    </xf>
    <xf numFmtId="0" fontId="50" fillId="0" borderId="0" xfId="318" applyFont="1" applyFill="1" applyAlignment="1">
      <alignment vertical="center"/>
      <protection/>
    </xf>
    <xf numFmtId="4" fontId="28" fillId="0" borderId="23" xfId="0" applyNumberFormat="1" applyFont="1" applyFill="1" applyBorder="1" applyAlignment="1">
      <alignment horizontal="right"/>
    </xf>
    <xf numFmtId="190" fontId="28" fillId="0" borderId="39" xfId="0" applyNumberFormat="1" applyFont="1" applyFill="1" applyBorder="1" applyAlignment="1">
      <alignment horizontal="right"/>
    </xf>
    <xf numFmtId="4" fontId="28" fillId="0" borderId="0" xfId="318" applyNumberFormat="1" applyFont="1" applyFill="1" applyAlignment="1">
      <alignment vertical="center"/>
      <protection/>
    </xf>
    <xf numFmtId="2" fontId="28" fillId="0" borderId="0" xfId="318" applyNumberFormat="1" applyFont="1" applyFill="1" applyBorder="1" applyAlignment="1">
      <alignment vertical="center"/>
      <protection/>
    </xf>
    <xf numFmtId="4" fontId="48" fillId="43" borderId="41" xfId="317" applyNumberFormat="1" applyFont="1" applyFill="1" applyBorder="1" applyAlignment="1">
      <alignment horizontal="right"/>
      <protection/>
    </xf>
    <xf numFmtId="4" fontId="48" fillId="44" borderId="41" xfId="317" applyNumberFormat="1" applyFont="1" applyFill="1" applyBorder="1" applyAlignment="1">
      <alignment horizontal="right"/>
      <protection/>
    </xf>
    <xf numFmtId="179" fontId="25" fillId="9" borderId="0" xfId="0" applyNumberFormat="1" applyFont="1" applyFill="1" applyAlignment="1">
      <alignment horizontal="center" vertical="center" wrapText="1"/>
    </xf>
    <xf numFmtId="180" fontId="19" fillId="0" borderId="23" xfId="319" applyNumberFormat="1" applyFont="1" applyFill="1" applyBorder="1" applyAlignment="1">
      <alignment vertical="center" wrapText="1"/>
      <protection/>
    </xf>
    <xf numFmtId="0" fontId="0" fillId="0" borderId="23" xfId="0" applyFill="1" applyBorder="1" applyAlignment="1">
      <alignment vertical="center"/>
    </xf>
    <xf numFmtId="180" fontId="19" fillId="0" borderId="23" xfId="319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19" fillId="0" borderId="25" xfId="318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1" fillId="9" borderId="0" xfId="336" applyFont="1" applyFill="1" applyBorder="1" applyAlignment="1">
      <alignment horizontal="center" vertical="center" shrinkToFit="1"/>
      <protection/>
    </xf>
    <xf numFmtId="0" fontId="21" fillId="9" borderId="0" xfId="336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/>
    </xf>
    <xf numFmtId="0" fontId="19" fillId="9" borderId="23" xfId="318" applyFont="1" applyFill="1" applyBorder="1" applyAlignment="1">
      <alignment vertical="center"/>
      <protection/>
    </xf>
    <xf numFmtId="179" fontId="19" fillId="9" borderId="25" xfId="319" applyNumberFormat="1" applyFont="1" applyFill="1" applyBorder="1" applyAlignment="1">
      <alignment horizontal="center" vertical="center" wrapText="1"/>
      <protection/>
    </xf>
    <xf numFmtId="179" fontId="19" fillId="9" borderId="24" xfId="319" applyNumberFormat="1" applyFont="1" applyFill="1" applyBorder="1" applyAlignment="1">
      <alignment horizontal="center" vertical="center" wrapText="1"/>
      <protection/>
    </xf>
    <xf numFmtId="180" fontId="19" fillId="0" borderId="25" xfId="319" applyNumberFormat="1" applyFont="1" applyFill="1" applyBorder="1" applyAlignment="1">
      <alignment horizontal="center" vertical="center" wrapText="1"/>
      <protection/>
    </xf>
    <xf numFmtId="180" fontId="19" fillId="0" borderId="24" xfId="319" applyNumberFormat="1" applyFont="1" applyFill="1" applyBorder="1" applyAlignment="1">
      <alignment horizontal="center" vertical="center" wrapText="1"/>
      <protection/>
    </xf>
    <xf numFmtId="0" fontId="19" fillId="0" borderId="42" xfId="318" applyFont="1" applyFill="1" applyBorder="1" applyAlignment="1">
      <alignment horizontal="center" vertical="center" wrapText="1"/>
      <protection/>
    </xf>
    <xf numFmtId="0" fontId="19" fillId="0" borderId="26" xfId="318" applyFont="1" applyFill="1" applyBorder="1" applyAlignment="1">
      <alignment horizontal="center" vertical="center" wrapText="1"/>
      <protection/>
    </xf>
    <xf numFmtId="0" fontId="28" fillId="0" borderId="33" xfId="336" applyFont="1" applyFill="1" applyBorder="1" applyAlignment="1">
      <alignment horizontal="center" vertical="center" wrapText="1" shrinkToFit="1"/>
      <protection/>
    </xf>
    <xf numFmtId="0" fontId="0" fillId="0" borderId="33" xfId="0" applyBorder="1" applyAlignment="1">
      <alignment/>
    </xf>
    <xf numFmtId="0" fontId="28" fillId="0" borderId="23" xfId="318" applyFont="1" applyFill="1" applyBorder="1" applyAlignment="1">
      <alignment horizontal="center" vertical="center"/>
      <protection/>
    </xf>
    <xf numFmtId="0" fontId="28" fillId="0" borderId="23" xfId="0" applyFont="1" applyFill="1" applyBorder="1" applyAlignment="1">
      <alignment vertical="center"/>
    </xf>
    <xf numFmtId="179" fontId="28" fillId="0" borderId="23" xfId="319" applyNumberFormat="1" applyFont="1" applyFill="1" applyBorder="1" applyAlignment="1">
      <alignment horizontal="center" vertical="center" wrapText="1"/>
      <protection/>
    </xf>
    <xf numFmtId="179" fontId="29" fillId="0" borderId="42" xfId="319" applyNumberFormat="1" applyFont="1" applyFill="1" applyBorder="1" applyAlignment="1">
      <alignment horizontal="center" vertical="center" wrapText="1"/>
      <protection/>
    </xf>
    <xf numFmtId="179" fontId="29" fillId="0" borderId="43" xfId="319" applyNumberFormat="1" applyFont="1" applyFill="1" applyBorder="1" applyAlignment="1">
      <alignment horizontal="center" vertical="center" wrapText="1"/>
      <protection/>
    </xf>
    <xf numFmtId="180" fontId="28" fillId="0" borderId="23" xfId="319" applyNumberFormat="1" applyFont="1" applyFill="1" applyBorder="1" applyAlignment="1">
      <alignment horizontal="center" vertical="center" wrapText="1"/>
      <protection/>
    </xf>
    <xf numFmtId="0" fontId="28" fillId="0" borderId="23" xfId="318" applyFont="1" applyFill="1" applyBorder="1" applyAlignment="1">
      <alignment horizontal="center" vertical="center" wrapText="1"/>
      <protection/>
    </xf>
    <xf numFmtId="180" fontId="29" fillId="0" borderId="32" xfId="319" applyNumberFormat="1" applyFont="1" applyFill="1" applyBorder="1" applyAlignment="1">
      <alignment horizontal="center" vertical="center" wrapText="1"/>
      <protection/>
    </xf>
    <xf numFmtId="180" fontId="29" fillId="0" borderId="29" xfId="319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180" fontId="28" fillId="0" borderId="25" xfId="319" applyNumberFormat="1" applyFont="1" applyFill="1" applyBorder="1" applyAlignment="1">
      <alignment horizontal="center" vertical="center" wrapText="1"/>
      <protection/>
    </xf>
    <xf numFmtId="180" fontId="28" fillId="0" borderId="24" xfId="319" applyNumberFormat="1" applyFont="1" applyFill="1" applyBorder="1" applyAlignment="1">
      <alignment horizontal="center" vertical="center" wrapText="1"/>
      <protection/>
    </xf>
    <xf numFmtId="180" fontId="28" fillId="0" borderId="32" xfId="319" applyNumberFormat="1" applyFont="1" applyFill="1" applyBorder="1" applyAlignment="1">
      <alignment horizontal="center" vertical="center" wrapText="1"/>
      <protection/>
    </xf>
    <xf numFmtId="0" fontId="28" fillId="0" borderId="29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26" xfId="318" applyFont="1" applyFill="1" applyBorder="1" applyAlignment="1">
      <alignment horizontal="center" vertical="center" wrapText="1"/>
      <protection/>
    </xf>
    <xf numFmtId="0" fontId="29" fillId="0" borderId="33" xfId="318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0" fillId="0" borderId="0" xfId="317" applyFont="1">
      <alignment/>
      <protection/>
    </xf>
    <xf numFmtId="0" fontId="48" fillId="0" borderId="0" xfId="317">
      <alignment/>
      <protection/>
    </xf>
    <xf numFmtId="179" fontId="20" fillId="40" borderId="42" xfId="319" applyNumberFormat="1" applyFont="1" applyFill="1" applyBorder="1" applyAlignment="1">
      <alignment horizontal="center" vertical="center" wrapText="1"/>
      <protection/>
    </xf>
    <xf numFmtId="179" fontId="20" fillId="40" borderId="26" xfId="319" applyNumberFormat="1" applyFont="1" applyFill="1" applyBorder="1" applyAlignment="1">
      <alignment horizontal="center" vertical="center" wrapText="1"/>
      <protection/>
    </xf>
    <xf numFmtId="179" fontId="19" fillId="0" borderId="23" xfId="319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180" fontId="19" fillId="9" borderId="25" xfId="319" applyNumberFormat="1" applyFont="1" applyFill="1" applyBorder="1" applyAlignment="1">
      <alignment horizontal="center" vertical="center" wrapText="1"/>
      <protection/>
    </xf>
    <xf numFmtId="180" fontId="19" fillId="9" borderId="24" xfId="319" applyNumberFormat="1" applyFont="1" applyFill="1" applyBorder="1" applyAlignment="1">
      <alignment horizontal="center" vertical="center" wrapText="1"/>
      <protection/>
    </xf>
    <xf numFmtId="180" fontId="19" fillId="9" borderId="23" xfId="319" applyNumberFormat="1" applyFont="1" applyFill="1" applyBorder="1" applyAlignment="1">
      <alignment horizontal="center" vertical="center" wrapText="1"/>
      <protection/>
    </xf>
    <xf numFmtId="0" fontId="19" fillId="0" borderId="42" xfId="318" applyFont="1" applyFill="1" applyBorder="1" applyAlignment="1">
      <alignment horizontal="center" vertical="center"/>
      <protection/>
    </xf>
    <xf numFmtId="0" fontId="19" fillId="0" borderId="43" xfId="318" applyFont="1" applyFill="1" applyBorder="1" applyAlignment="1">
      <alignment horizontal="center" vertical="center"/>
      <protection/>
    </xf>
    <xf numFmtId="0" fontId="19" fillId="0" borderId="26" xfId="318" applyFont="1" applyFill="1" applyBorder="1" applyAlignment="1">
      <alignment horizontal="center" vertical="center"/>
      <protection/>
    </xf>
    <xf numFmtId="180" fontId="19" fillId="6" borderId="25" xfId="319" applyNumberFormat="1" applyFont="1" applyFill="1" applyBorder="1" applyAlignment="1">
      <alignment horizontal="center" vertical="center" wrapText="1"/>
      <protection/>
    </xf>
    <xf numFmtId="0" fontId="0" fillId="6" borderId="24" xfId="0" applyFill="1" applyBorder="1" applyAlignment="1">
      <alignment horizontal="center" vertical="center" wrapText="1"/>
    </xf>
    <xf numFmtId="180" fontId="19" fillId="6" borderId="24" xfId="319" applyNumberFormat="1" applyFont="1" applyFill="1" applyBorder="1" applyAlignment="1">
      <alignment horizontal="center" vertical="center" wrapText="1"/>
      <protection/>
    </xf>
    <xf numFmtId="0" fontId="19" fillId="6" borderId="25" xfId="0" applyFont="1" applyFill="1" applyBorder="1" applyAlignment="1">
      <alignment horizontal="center" vertical="center" wrapText="1"/>
    </xf>
    <xf numFmtId="180" fontId="19" fillId="9" borderId="27" xfId="319" applyNumberFormat="1" applyFont="1" applyFill="1" applyBorder="1" applyAlignment="1">
      <alignment horizontal="center" vertical="center" wrapText="1"/>
      <protection/>
    </xf>
    <xf numFmtId="179" fontId="19" fillId="9" borderId="27" xfId="319" applyNumberFormat="1" applyFont="1" applyFill="1" applyBorder="1" applyAlignment="1">
      <alignment horizontal="center" vertical="center" wrapText="1"/>
      <protection/>
    </xf>
    <xf numFmtId="179" fontId="21" fillId="9" borderId="42" xfId="319" applyNumberFormat="1" applyFont="1" applyFill="1" applyBorder="1" applyAlignment="1">
      <alignment horizontal="center" vertical="center" wrapText="1"/>
      <protection/>
    </xf>
    <xf numFmtId="179" fontId="21" fillId="9" borderId="43" xfId="319" applyNumberFormat="1" applyFont="1" applyFill="1" applyBorder="1" applyAlignment="1">
      <alignment horizontal="center" vertical="center" wrapText="1"/>
      <protection/>
    </xf>
  </cellXfs>
  <cellStyles count="36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- Акцент1 2" xfId="28"/>
    <cellStyle name="20% - Акцент1 2 2" xfId="29"/>
    <cellStyle name="20% - Акцент1 2 3" xfId="30"/>
    <cellStyle name="20% - Акцент1 3" xfId="31"/>
    <cellStyle name="20% - Акцент1 4" xfId="32"/>
    <cellStyle name="20% — акцент2" xfId="33"/>
    <cellStyle name="20% - Акцент2 2" xfId="34"/>
    <cellStyle name="20% - Акцент2 2 2" xfId="35"/>
    <cellStyle name="20% - Акцент2 2 3" xfId="36"/>
    <cellStyle name="20% - Акцент2 3" xfId="37"/>
    <cellStyle name="20% - Акцент2 4" xfId="38"/>
    <cellStyle name="20% — акцент3" xfId="39"/>
    <cellStyle name="20% - Акцент3 2" xfId="40"/>
    <cellStyle name="20% - Акцент3 2 2" xfId="41"/>
    <cellStyle name="20% - Акцент3 2 3" xfId="42"/>
    <cellStyle name="20% - Акцент3 3" xfId="43"/>
    <cellStyle name="20% - Акцент3 4" xfId="44"/>
    <cellStyle name="20% — акцент4" xfId="45"/>
    <cellStyle name="20% - Акцент4 2" xfId="46"/>
    <cellStyle name="20% - Акцент4 2 2" xfId="47"/>
    <cellStyle name="20% - Акцент4 2 3" xfId="48"/>
    <cellStyle name="20% - Акцент4 3" xfId="49"/>
    <cellStyle name="20% - Акцент4 4" xfId="50"/>
    <cellStyle name="20% — акцент5" xfId="51"/>
    <cellStyle name="20% - Акцент5 2" xfId="52"/>
    <cellStyle name="20% - Акцент5 2 2" xfId="53"/>
    <cellStyle name="20% - Акцент5 2 3" xfId="54"/>
    <cellStyle name="20% - Акцент5 3" xfId="55"/>
    <cellStyle name="20% - Акцент5 4" xfId="56"/>
    <cellStyle name="20% — акцент6" xfId="57"/>
    <cellStyle name="20% - Акцент6 2" xfId="58"/>
    <cellStyle name="20% - Акцент6 2 2" xfId="59"/>
    <cellStyle name="20% - Акцент6 2 3" xfId="60"/>
    <cellStyle name="20% - Акцент6 3" xfId="61"/>
    <cellStyle name="20% - Акцент6 4" xfId="62"/>
    <cellStyle name="40% - Accent1" xfId="63"/>
    <cellStyle name="40% - Accent1 2" xfId="64"/>
    <cellStyle name="40% - Accent2" xfId="65"/>
    <cellStyle name="40% - Accent2 2" xfId="66"/>
    <cellStyle name="40% - Accent3" xfId="67"/>
    <cellStyle name="40% - Accent3 2" xfId="68"/>
    <cellStyle name="40% - Accent4" xfId="69"/>
    <cellStyle name="40% - Accent4 2" xfId="70"/>
    <cellStyle name="40% - Accent5" xfId="71"/>
    <cellStyle name="40% - Accent5 2" xfId="72"/>
    <cellStyle name="40% - Accent6" xfId="73"/>
    <cellStyle name="40% - Accent6 2" xfId="74"/>
    <cellStyle name="40% — акцент1" xfId="75"/>
    <cellStyle name="40% - Акцент1 2" xfId="76"/>
    <cellStyle name="40% - Акцент1 2 2" xfId="77"/>
    <cellStyle name="40% - Акцент1 2 3" xfId="78"/>
    <cellStyle name="40% - Акцент1 3" xfId="79"/>
    <cellStyle name="40% - Акцент1 4" xfId="80"/>
    <cellStyle name="40% — акцент2" xfId="81"/>
    <cellStyle name="40% - Акцент2 2" xfId="82"/>
    <cellStyle name="40% - Акцент2 2 2" xfId="83"/>
    <cellStyle name="40% - Акцент2 2 3" xfId="84"/>
    <cellStyle name="40% - Акцент2 3" xfId="85"/>
    <cellStyle name="40% - Акцент2 4" xfId="86"/>
    <cellStyle name="40% — акцент3" xfId="87"/>
    <cellStyle name="40% - Акцент3 2" xfId="88"/>
    <cellStyle name="40% - Акцент3 2 2" xfId="89"/>
    <cellStyle name="40% - Акцент3 2 3" xfId="90"/>
    <cellStyle name="40% - Акцент3 3" xfId="91"/>
    <cellStyle name="40% - Акцент3 4" xfId="92"/>
    <cellStyle name="40% — акцент4" xfId="93"/>
    <cellStyle name="40% - Акцент4 2" xfId="94"/>
    <cellStyle name="40% - Акцент4 2 2" xfId="95"/>
    <cellStyle name="40% - Акцент4 2 3" xfId="96"/>
    <cellStyle name="40% - Акцент4 3" xfId="97"/>
    <cellStyle name="40% - Акцент4 4" xfId="98"/>
    <cellStyle name="40% — акцент5" xfId="99"/>
    <cellStyle name="40% - Акцент5 2" xfId="100"/>
    <cellStyle name="40% - Акцент5 2 2" xfId="101"/>
    <cellStyle name="40% - Акцент5 2 3" xfId="102"/>
    <cellStyle name="40% - Акцент5 3" xfId="103"/>
    <cellStyle name="40% - Акцент5 4" xfId="104"/>
    <cellStyle name="40% — акцент6" xfId="105"/>
    <cellStyle name="40% - Акцент6 2" xfId="106"/>
    <cellStyle name="40% - Акцент6 2 2" xfId="107"/>
    <cellStyle name="40% - Акцент6 2 3" xfId="108"/>
    <cellStyle name="40% - Акцент6 3" xfId="109"/>
    <cellStyle name="40% - Акцент6 4" xfId="110"/>
    <cellStyle name="60% - Accent1" xfId="111"/>
    <cellStyle name="60% - Accent1 2" xfId="112"/>
    <cellStyle name="60% - Accent2" xfId="113"/>
    <cellStyle name="60% - Accent2 2" xfId="114"/>
    <cellStyle name="60% - Accent3" xfId="115"/>
    <cellStyle name="60% - Accent3 2" xfId="116"/>
    <cellStyle name="60% - Accent4" xfId="117"/>
    <cellStyle name="60% - Accent4 2" xfId="118"/>
    <cellStyle name="60% - Accent5" xfId="119"/>
    <cellStyle name="60% - Accent5 2" xfId="120"/>
    <cellStyle name="60% - Accent6" xfId="121"/>
    <cellStyle name="60% - Accent6 2" xfId="122"/>
    <cellStyle name="60% — акцент1" xfId="123"/>
    <cellStyle name="60% - Акцент1 2" xfId="124"/>
    <cellStyle name="60% - Акцент1 2 2" xfId="125"/>
    <cellStyle name="60% - Акцент1 2 3" xfId="126"/>
    <cellStyle name="60% - Акцент1 3" xfId="127"/>
    <cellStyle name="60% - Акцент1 4" xfId="128"/>
    <cellStyle name="60% — акцент2" xfId="129"/>
    <cellStyle name="60% - Акцент2 2" xfId="130"/>
    <cellStyle name="60% - Акцент2 2 2" xfId="131"/>
    <cellStyle name="60% - Акцент2 2 3" xfId="132"/>
    <cellStyle name="60% - Акцент2 3" xfId="133"/>
    <cellStyle name="60% - Акцент2 4" xfId="134"/>
    <cellStyle name="60% — акцент3" xfId="135"/>
    <cellStyle name="60% - Акцент3 2" xfId="136"/>
    <cellStyle name="60% - Акцент3 2 2" xfId="137"/>
    <cellStyle name="60% - Акцент3 2 3" xfId="138"/>
    <cellStyle name="60% - Акцент3 3" xfId="139"/>
    <cellStyle name="60% - Акцент3 4" xfId="140"/>
    <cellStyle name="60% — акцент4" xfId="141"/>
    <cellStyle name="60% - Акцент4 2" xfId="142"/>
    <cellStyle name="60% - Акцент4 2 2" xfId="143"/>
    <cellStyle name="60% - Акцент4 2 3" xfId="144"/>
    <cellStyle name="60% - Акцент4 3" xfId="145"/>
    <cellStyle name="60% - Акцент4 4" xfId="146"/>
    <cellStyle name="60% — акцент5" xfId="147"/>
    <cellStyle name="60% - Акцент5 2" xfId="148"/>
    <cellStyle name="60% - Акцент5 2 2" xfId="149"/>
    <cellStyle name="60% - Акцент5 2 3" xfId="150"/>
    <cellStyle name="60% - Акцент5 3" xfId="151"/>
    <cellStyle name="60% - Акцент5 4" xfId="152"/>
    <cellStyle name="60% — акцент6" xfId="153"/>
    <cellStyle name="60% - Акцент6 2" xfId="154"/>
    <cellStyle name="60% - Акцент6 2 2" xfId="155"/>
    <cellStyle name="60% - Акцент6 2 3" xfId="156"/>
    <cellStyle name="60% - Акцент6 3" xfId="157"/>
    <cellStyle name="60% - Акцент6 4" xfId="158"/>
    <cellStyle name="Accent1" xfId="159"/>
    <cellStyle name="Accent1 2" xfId="160"/>
    <cellStyle name="Accent2" xfId="161"/>
    <cellStyle name="Accent2 2" xfId="162"/>
    <cellStyle name="Accent3" xfId="163"/>
    <cellStyle name="Accent3 2" xfId="164"/>
    <cellStyle name="Accent4" xfId="165"/>
    <cellStyle name="Accent4 2" xfId="166"/>
    <cellStyle name="Accent5" xfId="167"/>
    <cellStyle name="Accent5 2" xfId="168"/>
    <cellStyle name="Accent6" xfId="169"/>
    <cellStyle name="Accent6 2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Explanatory Text" xfId="177"/>
    <cellStyle name="Explanatory Text 2" xfId="178"/>
    <cellStyle name="Good" xfId="179"/>
    <cellStyle name="Good 2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ormal_ФФПМР_ИБР_Ставрополь_2006 4" xfId="195"/>
    <cellStyle name="Note" xfId="196"/>
    <cellStyle name="Note 2" xfId="197"/>
    <cellStyle name="Output" xfId="198"/>
    <cellStyle name="Output 2" xfId="199"/>
    <cellStyle name="Title" xfId="200"/>
    <cellStyle name="Title 2" xfId="201"/>
    <cellStyle name="Total" xfId="202"/>
    <cellStyle name="Total 2" xfId="203"/>
    <cellStyle name="Warning Text" xfId="204"/>
    <cellStyle name="Warning Text 2" xfId="205"/>
    <cellStyle name="Акцент1" xfId="206"/>
    <cellStyle name="Акцент1 2" xfId="207"/>
    <cellStyle name="Акцент1 2 2" xfId="208"/>
    <cellStyle name="Акцент1 2 3" xfId="209"/>
    <cellStyle name="Акцент1 3" xfId="210"/>
    <cellStyle name="Акцент1 4" xfId="211"/>
    <cellStyle name="Акцент2" xfId="212"/>
    <cellStyle name="Акцент2 2" xfId="213"/>
    <cellStyle name="Акцент2 2 2" xfId="214"/>
    <cellStyle name="Акцент2 2 3" xfId="215"/>
    <cellStyle name="Акцент2 3" xfId="216"/>
    <cellStyle name="Акцент2 4" xfId="217"/>
    <cellStyle name="Акцент3" xfId="218"/>
    <cellStyle name="Акцент3 2" xfId="219"/>
    <cellStyle name="Акцент3 2 2" xfId="220"/>
    <cellStyle name="Акцент3 2 3" xfId="221"/>
    <cellStyle name="Акцент3 3" xfId="222"/>
    <cellStyle name="Акцент3 4" xfId="223"/>
    <cellStyle name="Акцент4" xfId="224"/>
    <cellStyle name="Акцент4 2" xfId="225"/>
    <cellStyle name="Акцент4 2 2" xfId="226"/>
    <cellStyle name="Акцент4 2 3" xfId="227"/>
    <cellStyle name="Акцент4 3" xfId="228"/>
    <cellStyle name="Акцент4 4" xfId="229"/>
    <cellStyle name="Акцент5" xfId="230"/>
    <cellStyle name="Акцент5 2" xfId="231"/>
    <cellStyle name="Акцент5 2 2" xfId="232"/>
    <cellStyle name="Акцент5 2 3" xfId="233"/>
    <cellStyle name="Акцент5 3" xfId="234"/>
    <cellStyle name="Акцент5 4" xfId="235"/>
    <cellStyle name="Акцент6" xfId="236"/>
    <cellStyle name="Акцент6 2" xfId="237"/>
    <cellStyle name="Акцент6 2 2" xfId="238"/>
    <cellStyle name="Акцент6 2 3" xfId="239"/>
    <cellStyle name="Акцент6 3" xfId="240"/>
    <cellStyle name="Акцент6 4" xfId="241"/>
    <cellStyle name="Ввод " xfId="242"/>
    <cellStyle name="Ввод  2" xfId="243"/>
    <cellStyle name="Ввод  2 2" xfId="244"/>
    <cellStyle name="Ввод  2 3" xfId="245"/>
    <cellStyle name="Ввод  3" xfId="246"/>
    <cellStyle name="Ввод  4" xfId="247"/>
    <cellStyle name="Вывод" xfId="248"/>
    <cellStyle name="Вывод 2" xfId="249"/>
    <cellStyle name="Вывод 2 2" xfId="250"/>
    <cellStyle name="Вывод 2 3" xfId="251"/>
    <cellStyle name="Вывод 3" xfId="252"/>
    <cellStyle name="Вывод 4" xfId="253"/>
    <cellStyle name="Вычисление" xfId="254"/>
    <cellStyle name="Вычисление 2" xfId="255"/>
    <cellStyle name="Вычисление 2 2" xfId="256"/>
    <cellStyle name="Вычисление 2 3" xfId="257"/>
    <cellStyle name="Вычисление 3" xfId="258"/>
    <cellStyle name="Вычисление 4" xfId="259"/>
    <cellStyle name="Hyperlink" xfId="260"/>
    <cellStyle name="Currency" xfId="261"/>
    <cellStyle name="Currency [0]" xfId="262"/>
    <cellStyle name="Заголовок 1" xfId="263"/>
    <cellStyle name="Заголовок 1 2" xfId="264"/>
    <cellStyle name="Заголовок 1 2 2" xfId="265"/>
    <cellStyle name="Заголовок 1 2 3" xfId="266"/>
    <cellStyle name="Заголовок 1 2_БО" xfId="267"/>
    <cellStyle name="Заголовок 1 3" xfId="268"/>
    <cellStyle name="Заголовок 1 4" xfId="269"/>
    <cellStyle name="Заголовок 2" xfId="270"/>
    <cellStyle name="Заголовок 2 2" xfId="271"/>
    <cellStyle name="Заголовок 2 2 2" xfId="272"/>
    <cellStyle name="Заголовок 2 2 3" xfId="273"/>
    <cellStyle name="Заголовок 2 2_БО" xfId="274"/>
    <cellStyle name="Заголовок 2 3" xfId="275"/>
    <cellStyle name="Заголовок 2 4" xfId="276"/>
    <cellStyle name="Заголовок 3" xfId="277"/>
    <cellStyle name="Заголовок 3 2" xfId="278"/>
    <cellStyle name="Заголовок 3 2 2" xfId="279"/>
    <cellStyle name="Заголовок 3 2 3" xfId="280"/>
    <cellStyle name="Заголовок 3 2_БО" xfId="281"/>
    <cellStyle name="Заголовок 3 3" xfId="282"/>
    <cellStyle name="Заголовок 3 4" xfId="283"/>
    <cellStyle name="Заголовок 4" xfId="284"/>
    <cellStyle name="Заголовок 4 2" xfId="285"/>
    <cellStyle name="Заголовок 4 2 2" xfId="286"/>
    <cellStyle name="Заголовок 4 2 3" xfId="287"/>
    <cellStyle name="Заголовок 4 3" xfId="288"/>
    <cellStyle name="Заголовок 4 4" xfId="289"/>
    <cellStyle name="Итог" xfId="290"/>
    <cellStyle name="Итог 2" xfId="291"/>
    <cellStyle name="Итог 2 2" xfId="292"/>
    <cellStyle name="Итог 2 3" xfId="293"/>
    <cellStyle name="Итог 2_БО" xfId="294"/>
    <cellStyle name="Итог 3" xfId="295"/>
    <cellStyle name="Итог 4" xfId="296"/>
    <cellStyle name="Контрольная ячейка" xfId="297"/>
    <cellStyle name="Контрольная ячейка 2" xfId="298"/>
    <cellStyle name="Контрольная ячейка 2 2" xfId="299"/>
    <cellStyle name="Контрольная ячейка 2 3" xfId="300"/>
    <cellStyle name="Контрольная ячейка 3" xfId="301"/>
    <cellStyle name="Контрольная ячейка 4" xfId="302"/>
    <cellStyle name="Название" xfId="303"/>
    <cellStyle name="Название 2" xfId="304"/>
    <cellStyle name="Название 2 2" xfId="305"/>
    <cellStyle name="Название 2 3" xfId="306"/>
    <cellStyle name="Название 3" xfId="307"/>
    <cellStyle name="Название 4" xfId="308"/>
    <cellStyle name="Нейтральный" xfId="309"/>
    <cellStyle name="Нейтральный 2" xfId="310"/>
    <cellStyle name="Нейтральный 2 2" xfId="311"/>
    <cellStyle name="Нейтральный 2 3" xfId="312"/>
    <cellStyle name="Нейтральный 3" xfId="313"/>
    <cellStyle name="Нейтральный 4" xfId="314"/>
    <cellStyle name="Обычный 10" xfId="315"/>
    <cellStyle name="Обычный 11" xfId="316"/>
    <cellStyle name="Обычный 12" xfId="317"/>
    <cellStyle name="Обычный 2" xfId="318"/>
    <cellStyle name="Обычный 2 2" xfId="319"/>
    <cellStyle name="Обычный 2 3" xfId="320"/>
    <cellStyle name="Обычный 2_БО" xfId="321"/>
    <cellStyle name="Обычный 3" xfId="322"/>
    <cellStyle name="Обычный 3 2" xfId="323"/>
    <cellStyle name="Обычный 3_инф о доходах" xfId="324"/>
    <cellStyle name="Обычный 4" xfId="325"/>
    <cellStyle name="Обычный 4 2" xfId="326"/>
    <cellStyle name="Обычный 4_инф о доходах" xfId="327"/>
    <cellStyle name="Обычный 5" xfId="328"/>
    <cellStyle name="Обычный 5 2" xfId="329"/>
    <cellStyle name="Обычный 5 3" xfId="330"/>
    <cellStyle name="Обычный 5_инф о доходах" xfId="331"/>
    <cellStyle name="Обычный 6" xfId="332"/>
    <cellStyle name="Обычный 7" xfId="333"/>
    <cellStyle name="Обычный 8" xfId="334"/>
    <cellStyle name="Обычный 9" xfId="335"/>
    <cellStyle name="Обычный_3 часть дотации_потери+кредиты ГСП" xfId="336"/>
    <cellStyle name="Обычный_инф о доходах" xfId="337"/>
    <cellStyle name="Обычный_Лист1" xfId="338"/>
    <cellStyle name="Обычный_Лист1_1" xfId="339"/>
    <cellStyle name="Обычный_Лист1_ИМБТ на з.плату 2 ая часть" xfId="340"/>
    <cellStyle name="Обычный_расчет к уточнению" xfId="341"/>
    <cellStyle name="Followed Hyperlink" xfId="342"/>
    <cellStyle name="Плохой" xfId="343"/>
    <cellStyle name="Плохой 2" xfId="344"/>
    <cellStyle name="Плохой 2 2" xfId="345"/>
    <cellStyle name="Плохой 2 3" xfId="346"/>
    <cellStyle name="Плохой 3" xfId="347"/>
    <cellStyle name="Плохой 4" xfId="348"/>
    <cellStyle name="Пояснение" xfId="349"/>
    <cellStyle name="Пояснение 2" xfId="350"/>
    <cellStyle name="Пояснение 2 2" xfId="351"/>
    <cellStyle name="Пояснение 2 3" xfId="352"/>
    <cellStyle name="Пояснение 3" xfId="353"/>
    <cellStyle name="Пояснение 4" xfId="354"/>
    <cellStyle name="Примечание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4" xfId="360"/>
    <cellStyle name="Percent" xfId="361"/>
    <cellStyle name="Связанная ячейка" xfId="362"/>
    <cellStyle name="Связанная ячейка 2" xfId="363"/>
    <cellStyle name="Связанная ячейка 2 2" xfId="364"/>
    <cellStyle name="Связанная ячейка 2 3" xfId="365"/>
    <cellStyle name="Связанная ячейка 2_БО" xfId="366"/>
    <cellStyle name="Связанная ячейка 3" xfId="367"/>
    <cellStyle name="Связанная ячейка 4" xfId="368"/>
    <cellStyle name="Текст предупреждения" xfId="369"/>
    <cellStyle name="Текст предупреждения 2" xfId="370"/>
    <cellStyle name="Текст предупреждения 2 2" xfId="371"/>
    <cellStyle name="Текст предупреждения 2 3" xfId="372"/>
    <cellStyle name="Текст предупреждения 3" xfId="373"/>
    <cellStyle name="Текст предупреждения 4" xfId="374"/>
    <cellStyle name="Comma" xfId="375"/>
    <cellStyle name="Comma [0]" xfId="376"/>
    <cellStyle name="Хороший" xfId="377"/>
    <cellStyle name="Хороший 2" xfId="378"/>
    <cellStyle name="Хороший 2 2" xfId="379"/>
    <cellStyle name="Хороший 2 3" xfId="380"/>
    <cellStyle name="Хороший 3" xfId="381"/>
    <cellStyle name="Хороший 4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U14" sqref="U14:U15"/>
    </sheetView>
  </sheetViews>
  <sheetFormatPr defaultColWidth="10.421875" defaultRowHeight="12.75"/>
  <cols>
    <col min="1" max="1" width="5.421875" style="11" customWidth="1"/>
    <col min="2" max="2" width="18.8515625" style="11" customWidth="1"/>
    <col min="3" max="3" width="11.00390625" style="11" customWidth="1"/>
    <col min="4" max="4" width="9.7109375" style="91" hidden="1" customWidth="1"/>
    <col min="5" max="5" width="7.8515625" style="91" hidden="1" customWidth="1"/>
    <col min="6" max="6" width="11.8515625" style="91" customWidth="1"/>
    <col min="7" max="8" width="11.00390625" style="91" customWidth="1"/>
    <col min="9" max="9" width="9.8515625" style="91" hidden="1" customWidth="1"/>
    <col min="10" max="10" width="11.140625" style="91" customWidth="1"/>
    <col min="11" max="11" width="9.8515625" style="91" customWidth="1"/>
    <col min="12" max="12" width="0.13671875" style="91" customWidth="1"/>
    <col min="13" max="15" width="11.00390625" style="91" customWidth="1"/>
    <col min="16" max="17" width="9.140625" style="91" hidden="1" customWidth="1"/>
    <col min="18" max="22" width="9.140625" style="91" customWidth="1"/>
    <col min="23" max="215" width="9.140625" style="11" customWidth="1"/>
    <col min="216" max="216" width="7.421875" style="11" customWidth="1"/>
    <col min="217" max="217" width="16.8515625" style="11" customWidth="1"/>
    <col min="218" max="218" width="25.421875" style="11" customWidth="1"/>
    <col min="219" max="219" width="10.7109375" style="11" customWidth="1"/>
    <col min="220" max="220" width="9.140625" style="11" customWidth="1"/>
    <col min="221" max="221" width="9.28125" style="11" customWidth="1"/>
    <col min="222" max="224" width="10.421875" style="11" customWidth="1"/>
    <col min="225" max="227" width="10.421875" style="11" hidden="1" customWidth="1"/>
    <col min="228" max="16384" width="10.421875" style="11" customWidth="1"/>
  </cols>
  <sheetData>
    <row r="1" spans="2:15" ht="8.2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58.5" customHeight="1">
      <c r="A2" s="277" t="s">
        <v>101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2:15" ht="12" customHeight="1">
      <c r="B3" s="8"/>
      <c r="C3" s="8"/>
      <c r="D3" s="93"/>
      <c r="E3" s="93"/>
      <c r="F3" s="93"/>
      <c r="G3" s="93" t="s">
        <v>87</v>
      </c>
      <c r="H3" s="93"/>
      <c r="I3" s="93"/>
      <c r="J3" s="93"/>
      <c r="K3" s="93"/>
      <c r="L3" s="93"/>
      <c r="M3" s="93"/>
      <c r="N3" s="93"/>
      <c r="O3" s="93"/>
    </row>
    <row r="4" spans="1:15" ht="30" customHeight="1">
      <c r="A4" s="279" t="s">
        <v>56</v>
      </c>
      <c r="B4" s="98" t="s">
        <v>2</v>
      </c>
      <c r="C4" s="280" t="s">
        <v>99</v>
      </c>
      <c r="D4" s="282" t="s">
        <v>59</v>
      </c>
      <c r="E4" s="282" t="s">
        <v>60</v>
      </c>
      <c r="F4" s="282" t="s">
        <v>66</v>
      </c>
      <c r="G4" s="4"/>
      <c r="H4" s="269" t="s">
        <v>106</v>
      </c>
      <c r="I4" s="168"/>
      <c r="J4" s="284" t="s">
        <v>114</v>
      </c>
      <c r="K4" s="285"/>
      <c r="L4" s="271" t="s">
        <v>112</v>
      </c>
      <c r="M4" s="271" t="s">
        <v>110</v>
      </c>
      <c r="N4" s="273" t="s">
        <v>57</v>
      </c>
      <c r="O4" s="275" t="s">
        <v>92</v>
      </c>
    </row>
    <row r="5" spans="1:15" ht="81.75" customHeight="1">
      <c r="A5" s="279"/>
      <c r="B5" s="99"/>
      <c r="C5" s="281"/>
      <c r="D5" s="274"/>
      <c r="E5" s="283"/>
      <c r="F5" s="274"/>
      <c r="G5" s="3" t="s">
        <v>103</v>
      </c>
      <c r="H5" s="270"/>
      <c r="I5" s="1" t="s">
        <v>95</v>
      </c>
      <c r="J5" s="1" t="s">
        <v>115</v>
      </c>
      <c r="K5" s="1" t="s">
        <v>116</v>
      </c>
      <c r="L5" s="271"/>
      <c r="M5" s="272"/>
      <c r="N5" s="274"/>
      <c r="O5" s="274"/>
    </row>
    <row r="6" spans="1:15" ht="19.5" customHeight="1">
      <c r="A6" s="7"/>
      <c r="B6" s="99"/>
      <c r="C6" s="110" t="s">
        <v>102</v>
      </c>
      <c r="D6" s="169" t="s">
        <v>58</v>
      </c>
      <c r="E6" s="169" t="s">
        <v>61</v>
      </c>
      <c r="F6" s="113" t="s">
        <v>64</v>
      </c>
      <c r="G6" s="141" t="s">
        <v>104</v>
      </c>
      <c r="H6" s="142" t="s">
        <v>105</v>
      </c>
      <c r="I6" s="170"/>
      <c r="J6" s="142" t="s">
        <v>108</v>
      </c>
      <c r="K6" s="142" t="s">
        <v>107</v>
      </c>
      <c r="L6" s="142" t="s">
        <v>111</v>
      </c>
      <c r="M6" s="141" t="s">
        <v>109</v>
      </c>
      <c r="N6" s="141" t="s">
        <v>81</v>
      </c>
      <c r="O6" s="171"/>
    </row>
    <row r="7" spans="1:22" s="15" customFormat="1" ht="38.25" customHeight="1">
      <c r="A7" s="103">
        <v>1</v>
      </c>
      <c r="B7" s="100">
        <v>2</v>
      </c>
      <c r="C7" s="14" t="s">
        <v>113</v>
      </c>
      <c r="D7" s="114">
        <v>4</v>
      </c>
      <c r="E7" s="114">
        <v>5</v>
      </c>
      <c r="F7" s="114">
        <v>4</v>
      </c>
      <c r="G7" s="114">
        <v>5</v>
      </c>
      <c r="H7" s="114">
        <v>6</v>
      </c>
      <c r="I7" s="114">
        <v>12</v>
      </c>
      <c r="J7" s="114">
        <v>7</v>
      </c>
      <c r="K7" s="114">
        <v>8</v>
      </c>
      <c r="L7" s="114" t="s">
        <v>117</v>
      </c>
      <c r="M7" s="114">
        <v>10</v>
      </c>
      <c r="N7" s="114" t="s">
        <v>118</v>
      </c>
      <c r="O7" s="114"/>
      <c r="P7" s="172"/>
      <c r="Q7" s="172"/>
      <c r="R7" s="172"/>
      <c r="S7" s="172"/>
      <c r="T7" s="172"/>
      <c r="U7" s="172"/>
      <c r="V7" s="172"/>
    </row>
    <row r="8" spans="1:17" ht="15.75" customHeight="1">
      <c r="A8" s="7">
        <v>1</v>
      </c>
      <c r="B8" s="101" t="s">
        <v>13</v>
      </c>
      <c r="C8" s="22">
        <f>D8+E8+F8+G8</f>
        <v>4668.4</v>
      </c>
      <c r="D8" s="139">
        <v>3666</v>
      </c>
      <c r="E8" s="139">
        <v>481</v>
      </c>
      <c r="F8" s="138">
        <v>430.4</v>
      </c>
      <c r="G8" s="138">
        <v>91</v>
      </c>
      <c r="H8" s="143">
        <v>4888.4</v>
      </c>
      <c r="I8" s="138">
        <v>0</v>
      </c>
      <c r="J8" s="174">
        <v>1635.9</v>
      </c>
      <c r="K8" s="174">
        <v>1113.1</v>
      </c>
      <c r="L8" s="174">
        <f>H8+(K8-J8)</f>
        <v>4365.599999999999</v>
      </c>
      <c r="M8" s="138">
        <v>220</v>
      </c>
      <c r="N8" s="138">
        <f>L8-C8-M8</f>
        <v>-522.8000000000002</v>
      </c>
      <c r="O8" s="138">
        <v>0</v>
      </c>
      <c r="P8" s="175"/>
      <c r="Q8" s="175">
        <f>P8-O8</f>
        <v>0</v>
      </c>
    </row>
    <row r="9" spans="1:17" ht="15.75" customHeight="1">
      <c r="A9" s="7">
        <f>A8+1</f>
        <v>2</v>
      </c>
      <c r="B9" s="101" t="s">
        <v>14</v>
      </c>
      <c r="C9" s="22">
        <f aca="true" t="shared" si="0" ref="C9:C31">D9+E9+F9+G9</f>
        <v>10379.6</v>
      </c>
      <c r="D9" s="139">
        <v>8666</v>
      </c>
      <c r="E9" s="139">
        <v>722</v>
      </c>
      <c r="F9" s="138">
        <v>818.1</v>
      </c>
      <c r="G9" s="138">
        <v>173.5</v>
      </c>
      <c r="H9" s="143">
        <v>10879.6</v>
      </c>
      <c r="I9" s="138">
        <v>0</v>
      </c>
      <c r="J9" s="174">
        <v>2017.4</v>
      </c>
      <c r="K9" s="174">
        <v>1825.8</v>
      </c>
      <c r="L9" s="174">
        <f aca="true" t="shared" si="1" ref="L9:L31">H9+(K9-J9)</f>
        <v>10688</v>
      </c>
      <c r="M9" s="138">
        <v>500</v>
      </c>
      <c r="N9" s="138">
        <f aca="true" t="shared" si="2" ref="N9:N31">L9-C9-M9</f>
        <v>-191.60000000000036</v>
      </c>
      <c r="O9" s="138">
        <v>0</v>
      </c>
      <c r="Q9" s="175">
        <f aca="true" t="shared" si="3" ref="Q9:Q31">P9-O9</f>
        <v>0</v>
      </c>
    </row>
    <row r="10" spans="1:17" ht="15.75" customHeight="1">
      <c r="A10" s="7">
        <f aca="true" t="shared" si="4" ref="A10:A31">A9+1</f>
        <v>3</v>
      </c>
      <c r="B10" s="101" t="s">
        <v>15</v>
      </c>
      <c r="C10" s="22">
        <f t="shared" si="0"/>
        <v>1574.4</v>
      </c>
      <c r="D10" s="139">
        <v>106</v>
      </c>
      <c r="E10" s="139">
        <v>5</v>
      </c>
      <c r="F10" s="138">
        <v>195.1</v>
      </c>
      <c r="G10" s="138">
        <v>1268.3</v>
      </c>
      <c r="H10" s="143">
        <v>1588.4</v>
      </c>
      <c r="I10" s="138">
        <v>21.3</v>
      </c>
      <c r="J10" s="174">
        <v>202.7</v>
      </c>
      <c r="K10" s="174">
        <v>224</v>
      </c>
      <c r="L10" s="174">
        <f t="shared" si="1"/>
        <v>1609.7</v>
      </c>
      <c r="M10" s="138">
        <v>14</v>
      </c>
      <c r="N10" s="138">
        <f t="shared" si="2"/>
        <v>21.299999999999955</v>
      </c>
      <c r="O10" s="138">
        <f aca="true" t="shared" si="5" ref="O10:O31">N10</f>
        <v>21.299999999999955</v>
      </c>
      <c r="P10" s="91">
        <v>21.3</v>
      </c>
      <c r="Q10" s="175">
        <f t="shared" si="3"/>
        <v>4.618527782440651E-14</v>
      </c>
    </row>
    <row r="11" spans="1:17" s="91" customFormat="1" ht="15.75" customHeight="1">
      <c r="A11" s="128">
        <f t="shared" si="4"/>
        <v>4</v>
      </c>
      <c r="B11" s="102" t="s">
        <v>16</v>
      </c>
      <c r="C11" s="22">
        <f t="shared" si="0"/>
        <v>5703.3</v>
      </c>
      <c r="D11" s="139">
        <v>352</v>
      </c>
      <c r="E11" s="139">
        <v>82</v>
      </c>
      <c r="F11" s="138">
        <v>701.8</v>
      </c>
      <c r="G11" s="138">
        <v>4567.5</v>
      </c>
      <c r="H11" s="143">
        <v>5758.3</v>
      </c>
      <c r="I11" s="138">
        <v>133.6</v>
      </c>
      <c r="J11" s="174">
        <v>889.1</v>
      </c>
      <c r="K11" s="174">
        <v>1022.7</v>
      </c>
      <c r="L11" s="174">
        <f t="shared" si="1"/>
        <v>5891.900000000001</v>
      </c>
      <c r="M11" s="138">
        <v>55</v>
      </c>
      <c r="N11" s="138">
        <f t="shared" si="2"/>
        <v>133.60000000000036</v>
      </c>
      <c r="O11" s="138">
        <f t="shared" si="5"/>
        <v>133.60000000000036</v>
      </c>
      <c r="P11" s="91">
        <v>133.6</v>
      </c>
      <c r="Q11" s="175">
        <f t="shared" si="3"/>
        <v>-3.694822225952521E-13</v>
      </c>
    </row>
    <row r="12" spans="1:17" s="91" customFormat="1" ht="15.75" customHeight="1">
      <c r="A12" s="7">
        <f t="shared" si="4"/>
        <v>5</v>
      </c>
      <c r="B12" s="102" t="s">
        <v>17</v>
      </c>
      <c r="C12" s="22">
        <f t="shared" si="0"/>
        <v>7085.3</v>
      </c>
      <c r="D12" s="139">
        <v>1591</v>
      </c>
      <c r="E12" s="139">
        <v>273</v>
      </c>
      <c r="F12" s="138">
        <v>1142.4</v>
      </c>
      <c r="G12" s="138">
        <v>4078.9</v>
      </c>
      <c r="H12" s="143">
        <v>7230.3</v>
      </c>
      <c r="I12" s="138">
        <v>196.1</v>
      </c>
      <c r="J12" s="174">
        <v>1155</v>
      </c>
      <c r="K12" s="174">
        <v>1351.1</v>
      </c>
      <c r="L12" s="174">
        <f t="shared" si="1"/>
        <v>7426.4</v>
      </c>
      <c r="M12" s="138">
        <v>145</v>
      </c>
      <c r="N12" s="138">
        <f t="shared" si="2"/>
        <v>196.09999999999945</v>
      </c>
      <c r="O12" s="138">
        <f t="shared" si="5"/>
        <v>196.09999999999945</v>
      </c>
      <c r="P12" s="91">
        <v>196.1</v>
      </c>
      <c r="Q12" s="175">
        <f t="shared" si="3"/>
        <v>5.400124791776761E-13</v>
      </c>
    </row>
    <row r="13" spans="1:17" s="91" customFormat="1" ht="15.75" customHeight="1">
      <c r="A13" s="128">
        <f t="shared" si="4"/>
        <v>6</v>
      </c>
      <c r="B13" s="102" t="s">
        <v>18</v>
      </c>
      <c r="C13" s="22">
        <f t="shared" si="0"/>
        <v>5524.3</v>
      </c>
      <c r="D13" s="139">
        <v>234</v>
      </c>
      <c r="E13" s="139">
        <v>30</v>
      </c>
      <c r="F13" s="138">
        <v>555.5</v>
      </c>
      <c r="G13" s="138">
        <v>4704.8</v>
      </c>
      <c r="H13" s="143">
        <v>5564.3</v>
      </c>
      <c r="I13" s="138">
        <v>77.4</v>
      </c>
      <c r="J13" s="174">
        <v>925.3</v>
      </c>
      <c r="K13" s="174">
        <v>1002.7</v>
      </c>
      <c r="L13" s="174">
        <f t="shared" si="1"/>
        <v>5641.700000000001</v>
      </c>
      <c r="M13" s="138">
        <v>40</v>
      </c>
      <c r="N13" s="138">
        <f t="shared" si="2"/>
        <v>77.40000000000055</v>
      </c>
      <c r="O13" s="138">
        <f t="shared" si="5"/>
        <v>77.40000000000055</v>
      </c>
      <c r="P13" s="91">
        <v>77.4</v>
      </c>
      <c r="Q13" s="175">
        <f t="shared" si="3"/>
        <v>-5.400124791776761E-13</v>
      </c>
    </row>
    <row r="14" spans="1:17" ht="15.75" customHeight="1">
      <c r="A14" s="7">
        <f t="shared" si="4"/>
        <v>7</v>
      </c>
      <c r="B14" s="101" t="s">
        <v>12</v>
      </c>
      <c r="C14" s="22">
        <f t="shared" si="0"/>
        <v>4015.6000000000004</v>
      </c>
      <c r="D14" s="139">
        <v>186</v>
      </c>
      <c r="E14" s="139">
        <v>68</v>
      </c>
      <c r="F14" s="138">
        <v>644.3</v>
      </c>
      <c r="G14" s="138">
        <v>3117.3</v>
      </c>
      <c r="H14" s="143">
        <v>4058.6</v>
      </c>
      <c r="I14" s="138">
        <v>70.6</v>
      </c>
      <c r="J14" s="174">
        <v>864.7</v>
      </c>
      <c r="K14" s="174">
        <v>935.3</v>
      </c>
      <c r="L14" s="174">
        <f t="shared" si="1"/>
        <v>4129.2</v>
      </c>
      <c r="M14" s="138">
        <v>43</v>
      </c>
      <c r="N14" s="138">
        <f t="shared" si="2"/>
        <v>70.59999999999945</v>
      </c>
      <c r="O14" s="138">
        <f t="shared" si="5"/>
        <v>70.59999999999945</v>
      </c>
      <c r="P14" s="91">
        <v>70.6</v>
      </c>
      <c r="Q14" s="175">
        <f t="shared" si="3"/>
        <v>5.400124791776761E-13</v>
      </c>
    </row>
    <row r="15" spans="1:17" ht="15.75" customHeight="1">
      <c r="A15" s="7">
        <f t="shared" si="4"/>
        <v>8</v>
      </c>
      <c r="B15" s="101" t="s">
        <v>19</v>
      </c>
      <c r="C15" s="22">
        <f t="shared" si="0"/>
        <v>4062.3999999999996</v>
      </c>
      <c r="D15" s="139">
        <v>1622</v>
      </c>
      <c r="E15" s="139">
        <v>950</v>
      </c>
      <c r="F15" s="138">
        <v>855.2</v>
      </c>
      <c r="G15" s="138">
        <v>635.2</v>
      </c>
      <c r="H15" s="143">
        <v>4402.4</v>
      </c>
      <c r="I15" s="138">
        <v>0</v>
      </c>
      <c r="J15" s="174">
        <v>2801.8</v>
      </c>
      <c r="K15" s="174">
        <v>1309.4</v>
      </c>
      <c r="L15" s="174">
        <f t="shared" si="1"/>
        <v>2909.9999999999995</v>
      </c>
      <c r="M15" s="138">
        <v>340</v>
      </c>
      <c r="N15" s="138">
        <f t="shared" si="2"/>
        <v>-1492.4</v>
      </c>
      <c r="O15" s="138">
        <v>0</v>
      </c>
      <c r="Q15" s="175">
        <f t="shared" si="3"/>
        <v>0</v>
      </c>
    </row>
    <row r="16" spans="1:17" ht="15.75" customHeight="1">
      <c r="A16" s="7">
        <f t="shared" si="4"/>
        <v>9</v>
      </c>
      <c r="B16" s="101" t="s">
        <v>20</v>
      </c>
      <c r="C16" s="22">
        <f t="shared" si="0"/>
        <v>8893.4</v>
      </c>
      <c r="D16" s="139">
        <v>936.5</v>
      </c>
      <c r="E16" s="139">
        <v>664</v>
      </c>
      <c r="F16" s="138">
        <v>937.9</v>
      </c>
      <c r="G16" s="138">
        <v>6355</v>
      </c>
      <c r="H16" s="143">
        <v>9018.4</v>
      </c>
      <c r="I16" s="138">
        <v>132.9</v>
      </c>
      <c r="J16" s="174">
        <v>1826.7</v>
      </c>
      <c r="K16" s="174">
        <v>1959.6</v>
      </c>
      <c r="L16" s="174">
        <f t="shared" si="1"/>
        <v>9151.3</v>
      </c>
      <c r="M16" s="138">
        <v>125</v>
      </c>
      <c r="N16" s="138">
        <f t="shared" si="2"/>
        <v>132.89999999999964</v>
      </c>
      <c r="O16" s="138">
        <f t="shared" si="5"/>
        <v>132.89999999999964</v>
      </c>
      <c r="P16" s="91">
        <v>132.9</v>
      </c>
      <c r="Q16" s="175">
        <f t="shared" si="3"/>
        <v>3.694822225952521E-13</v>
      </c>
    </row>
    <row r="17" spans="1:17" s="91" customFormat="1" ht="15.75" customHeight="1">
      <c r="A17" s="128">
        <f t="shared" si="4"/>
        <v>10</v>
      </c>
      <c r="B17" s="102" t="s">
        <v>21</v>
      </c>
      <c r="C17" s="22">
        <f t="shared" si="0"/>
        <v>9224.6</v>
      </c>
      <c r="D17" s="139">
        <v>412</v>
      </c>
      <c r="E17" s="139">
        <v>88</v>
      </c>
      <c r="F17" s="138">
        <v>1072.2</v>
      </c>
      <c r="G17" s="138">
        <v>7652.4</v>
      </c>
      <c r="H17" s="143">
        <v>9301.6</v>
      </c>
      <c r="I17" s="138">
        <v>389.2</v>
      </c>
      <c r="J17" s="174">
        <v>1736.9</v>
      </c>
      <c r="K17" s="174">
        <v>2126.1</v>
      </c>
      <c r="L17" s="174">
        <f t="shared" si="1"/>
        <v>9690.8</v>
      </c>
      <c r="M17" s="138">
        <v>77</v>
      </c>
      <c r="N17" s="138">
        <f t="shared" si="2"/>
        <v>389.1999999999989</v>
      </c>
      <c r="O17" s="138">
        <f t="shared" si="5"/>
        <v>389.1999999999989</v>
      </c>
      <c r="P17" s="91">
        <v>389.2</v>
      </c>
      <c r="Q17" s="175">
        <f t="shared" si="3"/>
        <v>1.0800249583553523E-12</v>
      </c>
    </row>
    <row r="18" spans="1:17" s="91" customFormat="1" ht="15.75" customHeight="1">
      <c r="A18" s="128">
        <f t="shared" si="4"/>
        <v>11</v>
      </c>
      <c r="B18" s="102" t="s">
        <v>22</v>
      </c>
      <c r="C18" s="22">
        <f t="shared" si="0"/>
        <v>5111.6</v>
      </c>
      <c r="D18" s="139">
        <v>265</v>
      </c>
      <c r="E18" s="139">
        <v>78</v>
      </c>
      <c r="F18" s="138">
        <v>394.3</v>
      </c>
      <c r="G18" s="138">
        <v>4374.3</v>
      </c>
      <c r="H18" s="143">
        <v>5146.6</v>
      </c>
      <c r="I18" s="138">
        <v>91.7</v>
      </c>
      <c r="J18" s="174">
        <v>1002</v>
      </c>
      <c r="K18" s="174">
        <v>1093.7</v>
      </c>
      <c r="L18" s="174">
        <f t="shared" si="1"/>
        <v>5238.3</v>
      </c>
      <c r="M18" s="138">
        <v>35</v>
      </c>
      <c r="N18" s="138">
        <f t="shared" si="2"/>
        <v>91.69999999999982</v>
      </c>
      <c r="O18" s="138">
        <f t="shared" si="5"/>
        <v>91.69999999999982</v>
      </c>
      <c r="P18" s="91">
        <v>91.7</v>
      </c>
      <c r="Q18" s="175">
        <f t="shared" si="3"/>
        <v>1.8474111129762605E-13</v>
      </c>
    </row>
    <row r="19" spans="1:17" s="91" customFormat="1" ht="15.75" customHeight="1">
      <c r="A19" s="128">
        <f t="shared" si="4"/>
        <v>12</v>
      </c>
      <c r="B19" s="102" t="s">
        <v>23</v>
      </c>
      <c r="C19" s="22">
        <f t="shared" si="0"/>
        <v>6793.9</v>
      </c>
      <c r="D19" s="139">
        <v>432.5</v>
      </c>
      <c r="E19" s="139">
        <v>103</v>
      </c>
      <c r="F19" s="138">
        <v>823</v>
      </c>
      <c r="G19" s="138">
        <v>5435.4</v>
      </c>
      <c r="H19" s="143">
        <v>6859.9</v>
      </c>
      <c r="I19" s="138">
        <v>31</v>
      </c>
      <c r="J19" s="174">
        <v>1331</v>
      </c>
      <c r="K19" s="174">
        <v>1362</v>
      </c>
      <c r="L19" s="174">
        <f t="shared" si="1"/>
        <v>6890.9</v>
      </c>
      <c r="M19" s="138">
        <v>66</v>
      </c>
      <c r="N19" s="138">
        <f t="shared" si="2"/>
        <v>31</v>
      </c>
      <c r="O19" s="138">
        <f t="shared" si="5"/>
        <v>31</v>
      </c>
      <c r="P19" s="91">
        <v>31</v>
      </c>
      <c r="Q19" s="175">
        <f t="shared" si="3"/>
        <v>0</v>
      </c>
    </row>
    <row r="20" spans="1:17" s="91" customFormat="1" ht="15.75" customHeight="1">
      <c r="A20" s="128">
        <f t="shared" si="4"/>
        <v>13</v>
      </c>
      <c r="B20" s="102" t="s">
        <v>24</v>
      </c>
      <c r="C20" s="22">
        <f t="shared" si="0"/>
        <v>3176.6</v>
      </c>
      <c r="D20" s="139">
        <v>97</v>
      </c>
      <c r="E20" s="139">
        <v>11.6</v>
      </c>
      <c r="F20" s="138">
        <v>235.1</v>
      </c>
      <c r="G20" s="138">
        <v>2832.9</v>
      </c>
      <c r="H20" s="143">
        <v>3192.6</v>
      </c>
      <c r="I20" s="138">
        <v>36.5</v>
      </c>
      <c r="J20" s="174">
        <v>826.4</v>
      </c>
      <c r="K20" s="174">
        <v>862.9</v>
      </c>
      <c r="L20" s="174">
        <f t="shared" si="1"/>
        <v>3229.1</v>
      </c>
      <c r="M20" s="138">
        <v>16</v>
      </c>
      <c r="N20" s="138">
        <f t="shared" si="2"/>
        <v>36.5</v>
      </c>
      <c r="O20" s="138">
        <f t="shared" si="5"/>
        <v>36.5</v>
      </c>
      <c r="P20" s="91">
        <v>36.5</v>
      </c>
      <c r="Q20" s="175">
        <f t="shared" si="3"/>
        <v>0</v>
      </c>
    </row>
    <row r="21" spans="1:17" s="91" customFormat="1" ht="15.75" customHeight="1">
      <c r="A21" s="128">
        <f t="shared" si="4"/>
        <v>14</v>
      </c>
      <c r="B21" s="102" t="s">
        <v>25</v>
      </c>
      <c r="C21" s="22">
        <f t="shared" si="0"/>
        <v>2480.1</v>
      </c>
      <c r="D21" s="139">
        <v>407</v>
      </c>
      <c r="E21" s="139">
        <v>30</v>
      </c>
      <c r="F21" s="138">
        <v>277.4</v>
      </c>
      <c r="G21" s="138">
        <v>1765.7</v>
      </c>
      <c r="H21" s="143">
        <v>2514.1</v>
      </c>
      <c r="I21" s="138">
        <v>45.1</v>
      </c>
      <c r="J21" s="174">
        <v>249.6</v>
      </c>
      <c r="K21" s="174">
        <v>294.7</v>
      </c>
      <c r="L21" s="174">
        <f t="shared" si="1"/>
        <v>2559.2</v>
      </c>
      <c r="M21" s="138">
        <v>34</v>
      </c>
      <c r="N21" s="138">
        <f t="shared" si="2"/>
        <v>45.09999999999991</v>
      </c>
      <c r="O21" s="138">
        <f t="shared" si="5"/>
        <v>45.09999999999991</v>
      </c>
      <c r="P21" s="91">
        <v>45.1</v>
      </c>
      <c r="Q21" s="175">
        <f t="shared" si="3"/>
        <v>9.237055564881302E-14</v>
      </c>
    </row>
    <row r="22" spans="1:17" s="91" customFormat="1" ht="15.75" customHeight="1">
      <c r="A22" s="128">
        <f t="shared" si="4"/>
        <v>15</v>
      </c>
      <c r="B22" s="102" t="s">
        <v>26</v>
      </c>
      <c r="C22" s="22">
        <f t="shared" si="0"/>
        <v>8625.4</v>
      </c>
      <c r="D22" s="139">
        <v>628.5</v>
      </c>
      <c r="E22" s="139">
        <v>247</v>
      </c>
      <c r="F22" s="138">
        <v>1280.9</v>
      </c>
      <c r="G22" s="138">
        <v>6469</v>
      </c>
      <c r="H22" s="143">
        <v>8730.4</v>
      </c>
      <c r="I22" s="138">
        <v>241.7</v>
      </c>
      <c r="J22" s="174">
        <v>1133.6</v>
      </c>
      <c r="K22" s="174">
        <v>1375.3</v>
      </c>
      <c r="L22" s="174">
        <f t="shared" si="1"/>
        <v>8972.1</v>
      </c>
      <c r="M22" s="138">
        <v>105</v>
      </c>
      <c r="N22" s="138">
        <f t="shared" si="2"/>
        <v>241.70000000000073</v>
      </c>
      <c r="O22" s="138">
        <f t="shared" si="5"/>
        <v>241.70000000000073</v>
      </c>
      <c r="P22" s="91">
        <v>241.7</v>
      </c>
      <c r="Q22" s="175">
        <f t="shared" si="3"/>
        <v>-7.389644451905042E-13</v>
      </c>
    </row>
    <row r="23" spans="1:17" s="91" customFormat="1" ht="15.75" customHeight="1">
      <c r="A23" s="128">
        <f t="shared" si="4"/>
        <v>16</v>
      </c>
      <c r="B23" s="102" t="s">
        <v>27</v>
      </c>
      <c r="C23" s="22">
        <f t="shared" si="0"/>
        <v>5289.7</v>
      </c>
      <c r="D23" s="139">
        <v>261.5</v>
      </c>
      <c r="E23" s="139">
        <v>138</v>
      </c>
      <c r="F23" s="138">
        <v>893.8</v>
      </c>
      <c r="G23" s="138">
        <v>3996.4</v>
      </c>
      <c r="H23" s="143">
        <v>5352.7</v>
      </c>
      <c r="I23" s="138">
        <v>100.1</v>
      </c>
      <c r="J23" s="174">
        <v>1079.4</v>
      </c>
      <c r="K23" s="174">
        <v>1179.5</v>
      </c>
      <c r="L23" s="174">
        <f t="shared" si="1"/>
        <v>5452.799999999999</v>
      </c>
      <c r="M23" s="138">
        <v>63</v>
      </c>
      <c r="N23" s="138">
        <f t="shared" si="2"/>
        <v>100.09999999999945</v>
      </c>
      <c r="O23" s="138">
        <f t="shared" si="5"/>
        <v>100.09999999999945</v>
      </c>
      <c r="P23" s="91">
        <v>100.1</v>
      </c>
      <c r="Q23" s="175">
        <f t="shared" si="3"/>
        <v>5.400124791776761E-13</v>
      </c>
    </row>
    <row r="24" spans="1:17" ht="15.75" customHeight="1">
      <c r="A24" s="7">
        <f t="shared" si="4"/>
        <v>17</v>
      </c>
      <c r="B24" s="101" t="s">
        <v>28</v>
      </c>
      <c r="C24" s="22">
        <f t="shared" si="0"/>
        <v>3216.2</v>
      </c>
      <c r="D24" s="139">
        <v>91</v>
      </c>
      <c r="E24" s="139">
        <v>42</v>
      </c>
      <c r="F24" s="138">
        <v>349.5</v>
      </c>
      <c r="G24" s="138">
        <v>2733.7</v>
      </c>
      <c r="H24" s="143">
        <v>3239.2</v>
      </c>
      <c r="I24" s="138">
        <v>45.8</v>
      </c>
      <c r="J24" s="174">
        <v>854</v>
      </c>
      <c r="K24" s="174">
        <v>899.8</v>
      </c>
      <c r="L24" s="174">
        <f t="shared" si="1"/>
        <v>3285</v>
      </c>
      <c r="M24" s="138">
        <v>23</v>
      </c>
      <c r="N24" s="138">
        <f t="shared" si="2"/>
        <v>45.80000000000018</v>
      </c>
      <c r="O24" s="138">
        <f t="shared" si="5"/>
        <v>45.80000000000018</v>
      </c>
      <c r="P24" s="91">
        <v>45.8</v>
      </c>
      <c r="Q24" s="175">
        <f t="shared" si="3"/>
        <v>-1.8474111129762605E-13</v>
      </c>
    </row>
    <row r="25" spans="1:17" ht="15.75" customHeight="1">
      <c r="A25" s="7">
        <f t="shared" si="4"/>
        <v>18</v>
      </c>
      <c r="B25" s="101" t="s">
        <v>29</v>
      </c>
      <c r="C25" s="22">
        <f t="shared" si="0"/>
        <v>2762.8999999999996</v>
      </c>
      <c r="D25" s="139">
        <v>88</v>
      </c>
      <c r="E25" s="139">
        <v>5</v>
      </c>
      <c r="F25" s="138">
        <v>270.7</v>
      </c>
      <c r="G25" s="138">
        <v>2399.2</v>
      </c>
      <c r="H25" s="143">
        <v>2780.4</v>
      </c>
      <c r="I25" s="138">
        <v>59.3</v>
      </c>
      <c r="J25" s="174">
        <v>721.2</v>
      </c>
      <c r="K25" s="174">
        <v>780.5</v>
      </c>
      <c r="L25" s="174">
        <f t="shared" si="1"/>
        <v>2839.7</v>
      </c>
      <c r="M25" s="138">
        <v>17.5</v>
      </c>
      <c r="N25" s="138">
        <f t="shared" si="2"/>
        <v>59.30000000000018</v>
      </c>
      <c r="O25" s="138">
        <f t="shared" si="5"/>
        <v>59.30000000000018</v>
      </c>
      <c r="P25" s="91">
        <v>59.3</v>
      </c>
      <c r="Q25" s="175">
        <f t="shared" si="3"/>
        <v>-1.8474111129762605E-13</v>
      </c>
    </row>
    <row r="26" spans="1:17" ht="15.75" customHeight="1">
      <c r="A26" s="7">
        <f t="shared" si="4"/>
        <v>19</v>
      </c>
      <c r="B26" s="101" t="s">
        <v>30</v>
      </c>
      <c r="C26" s="22">
        <f t="shared" si="0"/>
        <v>5729.700000000001</v>
      </c>
      <c r="D26" s="139">
        <v>181.5</v>
      </c>
      <c r="E26" s="139">
        <v>179</v>
      </c>
      <c r="F26" s="138">
        <v>873.9</v>
      </c>
      <c r="G26" s="138">
        <v>4495.3</v>
      </c>
      <c r="H26" s="143">
        <v>5789.7</v>
      </c>
      <c r="I26" s="138">
        <v>118.1</v>
      </c>
      <c r="J26" s="174">
        <v>752.8</v>
      </c>
      <c r="K26" s="174">
        <v>870.9</v>
      </c>
      <c r="L26" s="174">
        <f t="shared" si="1"/>
        <v>5907.8</v>
      </c>
      <c r="M26" s="138">
        <v>60</v>
      </c>
      <c r="N26" s="138">
        <f t="shared" si="2"/>
        <v>118.09999999999945</v>
      </c>
      <c r="O26" s="138">
        <f t="shared" si="5"/>
        <v>118.09999999999945</v>
      </c>
      <c r="P26" s="91">
        <v>118.1</v>
      </c>
      <c r="Q26" s="175">
        <f t="shared" si="3"/>
        <v>5.400124791776761E-13</v>
      </c>
    </row>
    <row r="27" spans="1:17" ht="15.75" customHeight="1">
      <c r="A27" s="7">
        <f t="shared" si="4"/>
        <v>20</v>
      </c>
      <c r="B27" s="101" t="s">
        <v>31</v>
      </c>
      <c r="C27" s="22">
        <f t="shared" si="0"/>
        <v>10156.6</v>
      </c>
      <c r="D27" s="139">
        <v>2638.5</v>
      </c>
      <c r="E27" s="139">
        <v>322</v>
      </c>
      <c r="F27" s="138">
        <v>785.3</v>
      </c>
      <c r="G27" s="138">
        <v>6410.8</v>
      </c>
      <c r="H27" s="143">
        <v>10341.6</v>
      </c>
      <c r="I27" s="138">
        <v>230.4</v>
      </c>
      <c r="J27" s="174">
        <v>1902.9</v>
      </c>
      <c r="K27" s="174">
        <v>2133.3</v>
      </c>
      <c r="L27" s="174">
        <f t="shared" si="1"/>
        <v>10572</v>
      </c>
      <c r="M27" s="138">
        <v>185</v>
      </c>
      <c r="N27" s="138">
        <f t="shared" si="2"/>
        <v>230.39999999999964</v>
      </c>
      <c r="O27" s="138">
        <f t="shared" si="5"/>
        <v>230.39999999999964</v>
      </c>
      <c r="P27" s="91">
        <v>230.4</v>
      </c>
      <c r="Q27" s="175">
        <f t="shared" si="3"/>
        <v>3.694822225952521E-13</v>
      </c>
    </row>
    <row r="28" spans="1:17" ht="15.75" customHeight="1">
      <c r="A28" s="7">
        <f t="shared" si="4"/>
        <v>21</v>
      </c>
      <c r="B28" s="101" t="s">
        <v>32</v>
      </c>
      <c r="C28" s="22">
        <f t="shared" si="0"/>
        <v>3017.1</v>
      </c>
      <c r="D28" s="139">
        <v>100</v>
      </c>
      <c r="E28" s="139">
        <v>15</v>
      </c>
      <c r="F28" s="138">
        <v>403.1</v>
      </c>
      <c r="G28" s="138">
        <v>2499</v>
      </c>
      <c r="H28" s="143">
        <v>3042.1</v>
      </c>
      <c r="I28" s="138">
        <v>18</v>
      </c>
      <c r="J28" s="174">
        <v>701.6</v>
      </c>
      <c r="K28" s="174">
        <v>719.6</v>
      </c>
      <c r="L28" s="174">
        <f t="shared" si="1"/>
        <v>3060.1</v>
      </c>
      <c r="M28" s="138">
        <v>25</v>
      </c>
      <c r="N28" s="138">
        <f t="shared" si="2"/>
        <v>18</v>
      </c>
      <c r="O28" s="138">
        <f t="shared" si="5"/>
        <v>18</v>
      </c>
      <c r="P28" s="91">
        <v>18</v>
      </c>
      <c r="Q28" s="175">
        <f t="shared" si="3"/>
        <v>0</v>
      </c>
    </row>
    <row r="29" spans="1:17" ht="15.75" customHeight="1">
      <c r="A29" s="7">
        <f t="shared" si="4"/>
        <v>22</v>
      </c>
      <c r="B29" s="101" t="s">
        <v>33</v>
      </c>
      <c r="C29" s="22">
        <f t="shared" si="0"/>
        <v>3821.2</v>
      </c>
      <c r="D29" s="139">
        <v>147.1</v>
      </c>
      <c r="E29" s="139">
        <v>47</v>
      </c>
      <c r="F29" s="138">
        <v>333.7</v>
      </c>
      <c r="G29" s="138">
        <v>3293.4</v>
      </c>
      <c r="H29" s="143">
        <v>3846.2</v>
      </c>
      <c r="I29" s="138">
        <v>47.4</v>
      </c>
      <c r="J29" s="174">
        <v>756.7</v>
      </c>
      <c r="K29" s="174">
        <v>804.1</v>
      </c>
      <c r="L29" s="174">
        <f t="shared" si="1"/>
        <v>3893.6</v>
      </c>
      <c r="M29" s="138">
        <v>25</v>
      </c>
      <c r="N29" s="138">
        <f t="shared" si="2"/>
        <v>47.40000000000009</v>
      </c>
      <c r="O29" s="138">
        <f t="shared" si="5"/>
        <v>47.40000000000009</v>
      </c>
      <c r="P29" s="91">
        <v>47.4</v>
      </c>
      <c r="Q29" s="175">
        <f t="shared" si="3"/>
        <v>-9.237055564881302E-14</v>
      </c>
    </row>
    <row r="30" spans="1:17" ht="15.75" customHeight="1">
      <c r="A30" s="7">
        <f t="shared" si="4"/>
        <v>23</v>
      </c>
      <c r="B30" s="101" t="s">
        <v>34</v>
      </c>
      <c r="C30" s="22">
        <f t="shared" si="0"/>
        <v>2022</v>
      </c>
      <c r="D30" s="139">
        <v>108</v>
      </c>
      <c r="E30" s="139">
        <v>29</v>
      </c>
      <c r="F30" s="138">
        <v>343.1</v>
      </c>
      <c r="G30" s="138">
        <v>1541.9</v>
      </c>
      <c r="H30" s="143">
        <v>2045</v>
      </c>
      <c r="I30" s="138">
        <v>69.8</v>
      </c>
      <c r="J30" s="174">
        <v>286.1</v>
      </c>
      <c r="K30" s="174">
        <v>355.9</v>
      </c>
      <c r="L30" s="174">
        <f t="shared" si="1"/>
        <v>2114.8</v>
      </c>
      <c r="M30" s="138">
        <v>23</v>
      </c>
      <c r="N30" s="138">
        <f t="shared" si="2"/>
        <v>69.80000000000018</v>
      </c>
      <c r="O30" s="138">
        <f t="shared" si="5"/>
        <v>69.80000000000018</v>
      </c>
      <c r="P30" s="91">
        <v>69.8</v>
      </c>
      <c r="Q30" s="175">
        <f t="shared" si="3"/>
        <v>-1.8474111129762605E-13</v>
      </c>
    </row>
    <row r="31" spans="1:17" ht="15.75" customHeight="1">
      <c r="A31" s="7">
        <f t="shared" si="4"/>
        <v>24</v>
      </c>
      <c r="B31" s="101" t="s">
        <v>35</v>
      </c>
      <c r="C31" s="22">
        <f t="shared" si="0"/>
        <v>9170.5</v>
      </c>
      <c r="D31" s="139">
        <v>612.7</v>
      </c>
      <c r="E31" s="139">
        <v>513</v>
      </c>
      <c r="F31" s="138">
        <v>763.1</v>
      </c>
      <c r="G31" s="138">
        <v>7281.7</v>
      </c>
      <c r="H31" s="143">
        <v>9263.5</v>
      </c>
      <c r="I31" s="138">
        <v>50.8</v>
      </c>
      <c r="J31" s="174">
        <v>1702.3</v>
      </c>
      <c r="K31" s="174">
        <v>1753.1</v>
      </c>
      <c r="L31" s="174">
        <f t="shared" si="1"/>
        <v>9314.3</v>
      </c>
      <c r="M31" s="138">
        <v>93</v>
      </c>
      <c r="N31" s="138">
        <f t="shared" si="2"/>
        <v>50.79999999999927</v>
      </c>
      <c r="O31" s="138">
        <f t="shared" si="5"/>
        <v>50.79999999999927</v>
      </c>
      <c r="P31" s="91">
        <v>50.8</v>
      </c>
      <c r="Q31" s="175">
        <f t="shared" si="3"/>
        <v>7.247535904753022E-13</v>
      </c>
    </row>
    <row r="32" spans="1:22" s="25" customFormat="1" ht="12.75">
      <c r="A32" s="104"/>
      <c r="B32" s="24"/>
      <c r="C32" s="151">
        <f>SUM(C8:C31)</f>
        <v>132504.8</v>
      </c>
      <c r="D32" s="152">
        <f aca="true" t="shared" si="6" ref="D32:O32">SUM(D8:D31)</f>
        <v>23829.8</v>
      </c>
      <c r="E32" s="152">
        <f t="shared" si="6"/>
        <v>5122.6</v>
      </c>
      <c r="F32" s="152">
        <f t="shared" si="6"/>
        <v>15379.8</v>
      </c>
      <c r="G32" s="152">
        <f>SUM(G8:G31)</f>
        <v>88172.59999999999</v>
      </c>
      <c r="H32" s="152">
        <f t="shared" si="6"/>
        <v>134834.3</v>
      </c>
      <c r="I32" s="152">
        <f t="shared" si="6"/>
        <v>2206.8</v>
      </c>
      <c r="J32" s="152">
        <f t="shared" si="6"/>
        <v>27355.1</v>
      </c>
      <c r="K32" s="152">
        <f t="shared" si="6"/>
        <v>27355.099999999995</v>
      </c>
      <c r="L32" s="152">
        <f t="shared" si="6"/>
        <v>134834.30000000002</v>
      </c>
      <c r="M32" s="152">
        <f t="shared" si="6"/>
        <v>2329.5</v>
      </c>
      <c r="N32" s="152">
        <f t="shared" si="6"/>
        <v>-3.410605131648481E-12</v>
      </c>
      <c r="O32" s="152">
        <f t="shared" si="6"/>
        <v>2206.7999999999975</v>
      </c>
      <c r="P32" s="176">
        <f>SUM(P8:P31)</f>
        <v>2206.8</v>
      </c>
      <c r="Q32" s="176">
        <f>SUM(Q8:Q31)</f>
        <v>2.7320368189975852E-12</v>
      </c>
      <c r="R32" s="173"/>
      <c r="S32" s="173"/>
      <c r="T32" s="173"/>
      <c r="U32" s="173"/>
      <c r="V32" s="173"/>
    </row>
    <row r="33" spans="2:15" ht="12.75">
      <c r="B33" s="17"/>
      <c r="C33" s="17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4:15" ht="12.75"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2:22" s="9" customFormat="1" ht="38.25" customHeight="1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97"/>
      <c r="Q35" s="97"/>
      <c r="R35" s="97"/>
      <c r="S35" s="97"/>
      <c r="T35" s="97"/>
      <c r="U35" s="97"/>
      <c r="V35" s="97"/>
    </row>
    <row r="36" spans="2:22" s="9" customFormat="1" ht="38.25" customHeight="1">
      <c r="B36" s="2"/>
      <c r="C36" s="2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97"/>
      <c r="R36" s="97"/>
      <c r="S36" s="97"/>
      <c r="T36" s="97"/>
      <c r="U36" s="97"/>
      <c r="V36" s="97"/>
    </row>
    <row r="37" spans="4:22" s="9" customFormat="1" ht="12.75"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4:22" s="9" customFormat="1" ht="12.75"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4:22" s="9" customFormat="1" ht="12.75"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4:22" s="9" customFormat="1" ht="12.75"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</sheetData>
  <sheetProtection/>
  <mergeCells count="14">
    <mergeCell ref="B1:O1"/>
    <mergeCell ref="A2:O2"/>
    <mergeCell ref="A4:A5"/>
    <mergeCell ref="C4:C5"/>
    <mergeCell ref="D4:D5"/>
    <mergeCell ref="E4:E5"/>
    <mergeCell ref="F4:F5"/>
    <mergeCell ref="J4:K4"/>
    <mergeCell ref="B35:O35"/>
    <mergeCell ref="H4:H5"/>
    <mergeCell ref="M4:M5"/>
    <mergeCell ref="N4:N5"/>
    <mergeCell ref="L4:L5"/>
    <mergeCell ref="O4:O5"/>
  </mergeCells>
  <printOptions/>
  <pageMargins left="1.3779527559055118" right="0.1968503937007874" top="0.7874015748031497" bottom="0.1968503937007874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R22" sqref="R22"/>
    </sheetView>
  </sheetViews>
  <sheetFormatPr defaultColWidth="16.8515625" defaultRowHeight="12.75"/>
  <cols>
    <col min="1" max="1" width="7.421875" style="179" customWidth="1"/>
    <col min="2" max="2" width="18.8515625" style="179" customWidth="1"/>
    <col min="3" max="3" width="16.00390625" style="179" customWidth="1"/>
    <col min="4" max="4" width="9.7109375" style="179" hidden="1" customWidth="1"/>
    <col min="5" max="5" width="7.8515625" style="179" hidden="1" customWidth="1"/>
    <col min="6" max="7" width="11.8515625" style="179" hidden="1" customWidth="1"/>
    <col min="8" max="8" width="14.421875" style="179" hidden="1" customWidth="1"/>
    <col min="9" max="9" width="11.140625" style="179" hidden="1" customWidth="1"/>
    <col min="10" max="10" width="12.57421875" style="179" hidden="1" customWidth="1"/>
    <col min="11" max="11" width="11.140625" style="179" hidden="1" customWidth="1"/>
    <col min="12" max="12" width="12.57421875" style="179" hidden="1" customWidth="1"/>
    <col min="13" max="14" width="11.00390625" style="179" hidden="1" customWidth="1"/>
    <col min="15" max="15" width="11.57421875" style="179" hidden="1" customWidth="1"/>
    <col min="16" max="17" width="11.57421875" style="179" customWidth="1"/>
    <col min="18" max="18" width="12.57421875" style="179" customWidth="1"/>
    <col min="19" max="21" width="11.57421875" style="179" customWidth="1"/>
    <col min="22" max="22" width="13.8515625" style="179" customWidth="1"/>
    <col min="23" max="23" width="13.8515625" style="179" hidden="1" customWidth="1"/>
    <col min="24" max="24" width="11.7109375" style="179" customWidth="1"/>
    <col min="25" max="25" width="13.57421875" style="179" customWidth="1"/>
    <col min="26" max="26" width="10.8515625" style="179" customWidth="1"/>
    <col min="27" max="27" width="13.28125" style="179" customWidth="1"/>
    <col min="28" max="28" width="18.140625" style="179" customWidth="1"/>
    <col min="29" max="29" width="11.421875" style="179" customWidth="1"/>
    <col min="30" max="30" width="22.421875" style="179" customWidth="1"/>
    <col min="31" max="32" width="9.140625" style="179" customWidth="1"/>
    <col min="33" max="33" width="18.140625" style="179" customWidth="1"/>
    <col min="34" max="213" width="9.140625" style="179" customWidth="1"/>
    <col min="214" max="214" width="7.421875" style="179" customWidth="1"/>
    <col min="215" max="16384" width="16.8515625" style="179" customWidth="1"/>
  </cols>
  <sheetData>
    <row r="1" spans="2:33" ht="96.75" customHeight="1">
      <c r="B1" s="224"/>
      <c r="C1" s="286" t="s">
        <v>160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29"/>
      <c r="Q1" s="229"/>
      <c r="R1" s="22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G1" s="219"/>
    </row>
    <row r="2" spans="1:33" ht="26.25" customHeight="1">
      <c r="A2" s="288" t="s">
        <v>56</v>
      </c>
      <c r="B2" s="290" t="s">
        <v>2</v>
      </c>
      <c r="C2" s="291" t="s">
        <v>119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 t="s">
        <v>135</v>
      </c>
      <c r="P2" s="295" t="s">
        <v>142</v>
      </c>
      <c r="Q2" s="296"/>
      <c r="R2" s="297"/>
      <c r="S2" s="297"/>
      <c r="T2" s="297"/>
      <c r="U2" s="297"/>
      <c r="V2" s="297"/>
      <c r="W2" s="214"/>
      <c r="X2" s="298" t="s">
        <v>143</v>
      </c>
      <c r="Y2" s="300" t="s">
        <v>126</v>
      </c>
      <c r="Z2" s="301"/>
      <c r="AA2" s="227"/>
      <c r="AB2" s="304" t="s">
        <v>120</v>
      </c>
      <c r="AC2" s="294" t="s">
        <v>141</v>
      </c>
      <c r="AG2" s="213"/>
    </row>
    <row r="3" spans="1:33" ht="118.5" customHeight="1">
      <c r="A3" s="288"/>
      <c r="B3" s="290"/>
      <c r="C3" s="185" t="s">
        <v>134</v>
      </c>
      <c r="D3" s="187" t="s">
        <v>59</v>
      </c>
      <c r="E3" s="187" t="s">
        <v>60</v>
      </c>
      <c r="F3" s="187" t="s">
        <v>121</v>
      </c>
      <c r="G3" s="187" t="s">
        <v>128</v>
      </c>
      <c r="H3" s="186" t="s">
        <v>129</v>
      </c>
      <c r="I3" s="187" t="s">
        <v>124</v>
      </c>
      <c r="J3" s="187" t="s">
        <v>137</v>
      </c>
      <c r="K3" s="187" t="s">
        <v>125</v>
      </c>
      <c r="L3" s="187" t="s">
        <v>122</v>
      </c>
      <c r="M3" s="187" t="s">
        <v>132</v>
      </c>
      <c r="N3" s="187" t="s">
        <v>133</v>
      </c>
      <c r="O3" s="293"/>
      <c r="P3" s="187" t="s">
        <v>144</v>
      </c>
      <c r="Q3" s="187" t="s">
        <v>145</v>
      </c>
      <c r="R3" s="208" t="s">
        <v>150</v>
      </c>
      <c r="S3" s="208" t="s">
        <v>164</v>
      </c>
      <c r="T3" s="208" t="s">
        <v>151</v>
      </c>
      <c r="U3" s="208" t="s">
        <v>154</v>
      </c>
      <c r="V3" s="208" t="s">
        <v>167</v>
      </c>
      <c r="W3" s="208" t="s">
        <v>153</v>
      </c>
      <c r="X3" s="299"/>
      <c r="Y3" s="302"/>
      <c r="Z3" s="303"/>
      <c r="AA3" s="228" t="s">
        <v>140</v>
      </c>
      <c r="AB3" s="304"/>
      <c r="AC3" s="294"/>
      <c r="AG3" s="213"/>
    </row>
    <row r="4" spans="1:33" ht="31.5" customHeight="1">
      <c r="A4" s="289"/>
      <c r="B4" s="290"/>
      <c r="C4" s="205" t="s">
        <v>109</v>
      </c>
      <c r="D4" s="195"/>
      <c r="E4" s="195"/>
      <c r="F4" s="188"/>
      <c r="G4" s="188" t="s">
        <v>63</v>
      </c>
      <c r="H4" s="188" t="s">
        <v>65</v>
      </c>
      <c r="I4" s="188" t="s">
        <v>130</v>
      </c>
      <c r="J4" s="188" t="s">
        <v>138</v>
      </c>
      <c r="K4" s="188" t="s">
        <v>131</v>
      </c>
      <c r="L4" s="188" t="s">
        <v>86</v>
      </c>
      <c r="M4" s="188" t="s">
        <v>161</v>
      </c>
      <c r="N4" s="188" t="s">
        <v>81</v>
      </c>
      <c r="O4" s="188" t="s">
        <v>136</v>
      </c>
      <c r="P4" s="188" t="s">
        <v>146</v>
      </c>
      <c r="Q4" s="188" t="s">
        <v>147</v>
      </c>
      <c r="R4" s="188" t="s">
        <v>168</v>
      </c>
      <c r="S4" s="188" t="s">
        <v>72</v>
      </c>
      <c r="T4" s="188" t="s">
        <v>165</v>
      </c>
      <c r="U4" s="188" t="s">
        <v>163</v>
      </c>
      <c r="V4" s="188" t="s">
        <v>166</v>
      </c>
      <c r="W4" s="188"/>
      <c r="X4" s="188" t="s">
        <v>148</v>
      </c>
      <c r="Y4" s="188"/>
      <c r="Z4" s="187"/>
      <c r="AA4" s="226" t="s">
        <v>127</v>
      </c>
      <c r="AB4" s="225" t="s">
        <v>162</v>
      </c>
      <c r="AC4" s="225" t="s">
        <v>162</v>
      </c>
      <c r="AG4" s="188"/>
    </row>
    <row r="5" spans="1:33" ht="55.5" customHeight="1">
      <c r="A5" s="178">
        <v>1</v>
      </c>
      <c r="B5" s="189">
        <v>2</v>
      </c>
      <c r="C5" s="206" t="s">
        <v>149</v>
      </c>
      <c r="D5" s="189">
        <v>4</v>
      </c>
      <c r="E5" s="189">
        <v>5</v>
      </c>
      <c r="F5" s="189">
        <v>6</v>
      </c>
      <c r="G5" s="189" t="s">
        <v>123</v>
      </c>
      <c r="H5" s="189">
        <v>8</v>
      </c>
      <c r="I5" s="189">
        <v>9</v>
      </c>
      <c r="J5" s="189">
        <v>10</v>
      </c>
      <c r="K5" s="189">
        <v>11</v>
      </c>
      <c r="L5" s="189" t="s">
        <v>139</v>
      </c>
      <c r="M5" s="189">
        <v>13</v>
      </c>
      <c r="N5" s="189">
        <v>14</v>
      </c>
      <c r="O5" s="189">
        <v>15</v>
      </c>
      <c r="P5" s="189">
        <v>16</v>
      </c>
      <c r="Q5" s="189">
        <v>17</v>
      </c>
      <c r="R5" s="189">
        <v>18</v>
      </c>
      <c r="S5" s="189">
        <v>19</v>
      </c>
      <c r="T5" s="189">
        <v>20</v>
      </c>
      <c r="U5" s="189">
        <v>21</v>
      </c>
      <c r="V5" s="189">
        <v>22</v>
      </c>
      <c r="W5" s="189" t="s">
        <v>153</v>
      </c>
      <c r="X5" s="189" t="s">
        <v>156</v>
      </c>
      <c r="Y5" s="189" t="s">
        <v>157</v>
      </c>
      <c r="Z5" s="189" t="s">
        <v>158</v>
      </c>
      <c r="AA5" s="189">
        <v>26</v>
      </c>
      <c r="AB5" s="189" t="s">
        <v>159</v>
      </c>
      <c r="AC5" s="189">
        <v>28</v>
      </c>
      <c r="AD5" s="189"/>
      <c r="AG5" s="189" t="s">
        <v>152</v>
      </c>
    </row>
    <row r="6" spans="1:33" ht="18.75" customHeight="1">
      <c r="A6" s="178">
        <v>1</v>
      </c>
      <c r="B6" s="183" t="s">
        <v>13</v>
      </c>
      <c r="C6" s="212">
        <f>G6+L6+M6+N6-H6+350</f>
        <v>7468.756899999999</v>
      </c>
      <c r="D6" s="196">
        <v>3366</v>
      </c>
      <c r="E6" s="197">
        <v>208.1</v>
      </c>
      <c r="F6" s="210">
        <v>988.4568999999992</v>
      </c>
      <c r="G6" s="182">
        <f aca="true" t="shared" si="0" ref="G6:G29">D6+E6+F6</f>
        <v>4562.5569</v>
      </c>
      <c r="H6" s="196">
        <v>673.8</v>
      </c>
      <c r="I6" s="230">
        <v>0</v>
      </c>
      <c r="J6" s="218"/>
      <c r="K6" s="196">
        <v>0</v>
      </c>
      <c r="L6" s="202">
        <f>K6+I6+J6</f>
        <v>0</v>
      </c>
      <c r="M6" s="203">
        <v>1424</v>
      </c>
      <c r="N6" s="203">
        <v>1806</v>
      </c>
      <c r="O6" s="220">
        <v>30</v>
      </c>
      <c r="P6" s="221">
        <v>1521</v>
      </c>
      <c r="Q6" s="222">
        <v>3198</v>
      </c>
      <c r="R6" s="222">
        <v>1844</v>
      </c>
      <c r="S6" s="222">
        <v>967</v>
      </c>
      <c r="T6" s="222">
        <v>241</v>
      </c>
      <c r="U6" s="222">
        <v>47</v>
      </c>
      <c r="V6" s="222"/>
      <c r="W6" s="222"/>
      <c r="X6" s="222">
        <f aca="true" t="shared" si="1" ref="X6:X29">P6+Q6+R6+S6+T6+U6+W6+V6</f>
        <v>7818</v>
      </c>
      <c r="Y6" s="194">
        <f>C6+O6-X6</f>
        <v>-319.2431000000006</v>
      </c>
      <c r="Z6" s="177">
        <v>319.2</v>
      </c>
      <c r="AA6" s="182">
        <v>4500</v>
      </c>
      <c r="AB6" s="194">
        <f>Z6/$Z$30*$AA$6</f>
        <v>273.67819376964843</v>
      </c>
      <c r="AC6" s="207">
        <v>273.7</v>
      </c>
      <c r="AD6" s="183" t="s">
        <v>13</v>
      </c>
      <c r="AG6" s="194">
        <v>248.1</v>
      </c>
    </row>
    <row r="7" spans="1:33" ht="18.75" customHeight="1">
      <c r="A7" s="178">
        <f aca="true" t="shared" si="2" ref="A7:A29">A6+1</f>
        <v>2</v>
      </c>
      <c r="B7" s="183" t="s">
        <v>14</v>
      </c>
      <c r="C7" s="212">
        <f aca="true" t="shared" si="3" ref="C7:C28">G7+L7+M7+N7-H7</f>
        <v>9295.8</v>
      </c>
      <c r="D7" s="196">
        <v>6945</v>
      </c>
      <c r="E7" s="197">
        <v>235.1</v>
      </c>
      <c r="F7" s="210">
        <v>1083.2999999999993</v>
      </c>
      <c r="G7" s="182">
        <f t="shared" si="0"/>
        <v>8263.4</v>
      </c>
      <c r="H7" s="196">
        <v>748.6</v>
      </c>
      <c r="I7" s="230">
        <v>0</v>
      </c>
      <c r="J7" s="218"/>
      <c r="K7" s="196">
        <v>0</v>
      </c>
      <c r="L7" s="202">
        <f aca="true" t="shared" si="4" ref="L7:L29">K7+I7+J7</f>
        <v>0</v>
      </c>
      <c r="M7" s="203">
        <v>583</v>
      </c>
      <c r="N7" s="203">
        <v>1198</v>
      </c>
      <c r="O7" s="220">
        <v>114</v>
      </c>
      <c r="P7" s="221">
        <v>2626</v>
      </c>
      <c r="Q7" s="222">
        <v>4539</v>
      </c>
      <c r="R7" s="222">
        <v>2533</v>
      </c>
      <c r="S7" s="222">
        <v>1114</v>
      </c>
      <c r="T7" s="222">
        <v>139</v>
      </c>
      <c r="U7" s="222">
        <v>45</v>
      </c>
      <c r="V7" s="222"/>
      <c r="W7" s="222"/>
      <c r="X7" s="222">
        <f t="shared" si="1"/>
        <v>10996</v>
      </c>
      <c r="Y7" s="194">
        <f aca="true" t="shared" si="5" ref="Y7:Y29">C7+O7-X7</f>
        <v>-1586.2000000000007</v>
      </c>
      <c r="Z7" s="177">
        <v>1586.2</v>
      </c>
      <c r="AA7" s="182"/>
      <c r="AB7" s="194">
        <f aca="true" t="shared" si="6" ref="AB7:AB29">Z7/$Z$30*$AA$6</f>
        <v>1359.988568162332</v>
      </c>
      <c r="AC7" s="207">
        <v>1360</v>
      </c>
      <c r="AD7" s="183" t="s">
        <v>14</v>
      </c>
      <c r="AG7" s="194">
        <v>1330.9</v>
      </c>
    </row>
    <row r="8" spans="1:33" ht="18.75" customHeight="1">
      <c r="A8" s="178">
        <f t="shared" si="2"/>
        <v>3</v>
      </c>
      <c r="B8" s="183" t="s">
        <v>15</v>
      </c>
      <c r="C8" s="212">
        <f t="shared" si="3"/>
        <v>4049.8</v>
      </c>
      <c r="D8" s="196">
        <v>114</v>
      </c>
      <c r="E8" s="197">
        <v>40</v>
      </c>
      <c r="F8" s="210">
        <v>530.3</v>
      </c>
      <c r="G8" s="182">
        <f t="shared" si="0"/>
        <v>684.3</v>
      </c>
      <c r="H8" s="196">
        <v>524</v>
      </c>
      <c r="I8" s="230">
        <v>3649.6</v>
      </c>
      <c r="J8" s="218"/>
      <c r="K8" s="204">
        <v>239.9</v>
      </c>
      <c r="L8" s="202">
        <f t="shared" si="4"/>
        <v>3889.5</v>
      </c>
      <c r="M8" s="203">
        <v>0</v>
      </c>
      <c r="N8" s="203">
        <v>0</v>
      </c>
      <c r="O8" s="220">
        <v>102</v>
      </c>
      <c r="P8" s="221">
        <v>352</v>
      </c>
      <c r="Q8" s="222">
        <v>2691</v>
      </c>
      <c r="R8" s="222">
        <v>250</v>
      </c>
      <c r="S8" s="222">
        <v>272</v>
      </c>
      <c r="T8" s="223"/>
      <c r="U8" s="222">
        <v>4</v>
      </c>
      <c r="V8" s="222"/>
      <c r="W8" s="222"/>
      <c r="X8" s="222">
        <f t="shared" si="1"/>
        <v>3569</v>
      </c>
      <c r="Y8" s="194">
        <f t="shared" si="5"/>
        <v>582.8000000000002</v>
      </c>
      <c r="Z8" s="177"/>
      <c r="AA8" s="182"/>
      <c r="AB8" s="194">
        <f t="shared" si="6"/>
        <v>0</v>
      </c>
      <c r="AC8" s="207">
        <v>0</v>
      </c>
      <c r="AD8" s="183" t="s">
        <v>15</v>
      </c>
      <c r="AG8" s="194"/>
    </row>
    <row r="9" spans="1:33" ht="18.75" customHeight="1">
      <c r="A9" s="178">
        <f t="shared" si="2"/>
        <v>4</v>
      </c>
      <c r="B9" s="183" t="s">
        <v>16</v>
      </c>
      <c r="C9" s="212">
        <f>G9+L9+M9+N9-H9-20</f>
        <v>9126.23364</v>
      </c>
      <c r="D9" s="196">
        <v>425</v>
      </c>
      <c r="E9" s="197">
        <v>205</v>
      </c>
      <c r="F9" s="210">
        <v>1451.53364</v>
      </c>
      <c r="G9" s="182">
        <f t="shared" si="0"/>
        <v>2081.53364</v>
      </c>
      <c r="H9" s="196">
        <v>1347.5</v>
      </c>
      <c r="I9" s="230">
        <v>7771</v>
      </c>
      <c r="J9" s="218"/>
      <c r="K9" s="204">
        <v>460.2</v>
      </c>
      <c r="L9" s="202">
        <f t="shared" si="4"/>
        <v>8231.2</v>
      </c>
      <c r="M9" s="203">
        <v>0</v>
      </c>
      <c r="N9" s="203">
        <v>181</v>
      </c>
      <c r="O9" s="220">
        <v>333</v>
      </c>
      <c r="P9" s="221">
        <v>3084</v>
      </c>
      <c r="Q9" s="222">
        <v>2769</v>
      </c>
      <c r="R9" s="222">
        <v>2194</v>
      </c>
      <c r="S9" s="222">
        <v>977</v>
      </c>
      <c r="T9" s="222">
        <v>452</v>
      </c>
      <c r="U9" s="222">
        <v>14</v>
      </c>
      <c r="V9" s="222"/>
      <c r="W9" s="222"/>
      <c r="X9" s="222">
        <f t="shared" si="1"/>
        <v>9490</v>
      </c>
      <c r="Y9" s="194">
        <f t="shared" si="5"/>
        <v>-30.766359999999622</v>
      </c>
      <c r="Z9" s="177">
        <v>209</v>
      </c>
      <c r="AA9" s="182"/>
      <c r="AB9" s="194">
        <f t="shared" si="6"/>
        <v>179.19405544441267</v>
      </c>
      <c r="AC9" s="207">
        <v>179.2</v>
      </c>
      <c r="AD9" s="183" t="s">
        <v>16</v>
      </c>
      <c r="AG9" s="194">
        <v>165.3</v>
      </c>
    </row>
    <row r="10" spans="1:33" ht="18.75" customHeight="1">
      <c r="A10" s="178">
        <f t="shared" si="2"/>
        <v>5</v>
      </c>
      <c r="B10" s="183" t="s">
        <v>17</v>
      </c>
      <c r="C10" s="212">
        <f t="shared" si="3"/>
        <v>14818.482119999997</v>
      </c>
      <c r="D10" s="196">
        <v>919</v>
      </c>
      <c r="E10" s="197">
        <v>415</v>
      </c>
      <c r="F10" s="210">
        <v>3057.082119999999</v>
      </c>
      <c r="G10" s="182">
        <f t="shared" si="0"/>
        <v>4391.082119999999</v>
      </c>
      <c r="H10" s="196">
        <v>2620.2</v>
      </c>
      <c r="I10" s="230">
        <v>12841.2</v>
      </c>
      <c r="J10" s="218"/>
      <c r="K10" s="204">
        <v>206.4</v>
      </c>
      <c r="L10" s="202">
        <f t="shared" si="4"/>
        <v>13047.6</v>
      </c>
      <c r="M10" s="203">
        <v>0</v>
      </c>
      <c r="N10" s="203">
        <v>0</v>
      </c>
      <c r="O10" s="220">
        <v>1233</v>
      </c>
      <c r="P10" s="221">
        <v>2856</v>
      </c>
      <c r="Q10" s="222">
        <v>6032</v>
      </c>
      <c r="R10" s="222">
        <v>3043</v>
      </c>
      <c r="S10" s="222">
        <v>833</v>
      </c>
      <c r="T10" s="222">
        <v>139</v>
      </c>
      <c r="U10" s="222">
        <v>33</v>
      </c>
      <c r="V10" s="222"/>
      <c r="W10" s="222"/>
      <c r="X10" s="222">
        <f t="shared" si="1"/>
        <v>12936</v>
      </c>
      <c r="Y10" s="194">
        <f t="shared" si="5"/>
        <v>3115.482119999997</v>
      </c>
      <c r="Z10" s="177"/>
      <c r="AA10" s="182"/>
      <c r="AB10" s="194">
        <f t="shared" si="6"/>
        <v>0</v>
      </c>
      <c r="AC10" s="207"/>
      <c r="AD10" s="183" t="s">
        <v>17</v>
      </c>
      <c r="AG10" s="194"/>
    </row>
    <row r="11" spans="1:33" ht="18.75" customHeight="1">
      <c r="A11" s="178">
        <f t="shared" si="2"/>
        <v>6</v>
      </c>
      <c r="B11" s="183" t="s">
        <v>18</v>
      </c>
      <c r="C11" s="212">
        <f t="shared" si="3"/>
        <v>11089.06877</v>
      </c>
      <c r="D11" s="196">
        <v>215</v>
      </c>
      <c r="E11" s="197">
        <v>61.7</v>
      </c>
      <c r="F11" s="210">
        <v>707.96877</v>
      </c>
      <c r="G11" s="182">
        <f t="shared" si="0"/>
        <v>984.66877</v>
      </c>
      <c r="H11" s="196">
        <v>449.2</v>
      </c>
      <c r="I11" s="230">
        <v>9678.7</v>
      </c>
      <c r="J11" s="218"/>
      <c r="K11" s="204">
        <v>534.9</v>
      </c>
      <c r="L11" s="202">
        <f t="shared" si="4"/>
        <v>10213.6</v>
      </c>
      <c r="M11" s="203">
        <v>0</v>
      </c>
      <c r="N11" s="203">
        <v>340</v>
      </c>
      <c r="O11" s="220">
        <v>125</v>
      </c>
      <c r="P11" s="221">
        <v>4104</v>
      </c>
      <c r="Q11" s="222">
        <v>2581</v>
      </c>
      <c r="R11" s="222">
        <v>1861</v>
      </c>
      <c r="S11" s="222">
        <v>1260</v>
      </c>
      <c r="T11" s="222">
        <v>278</v>
      </c>
      <c r="U11" s="222">
        <v>309</v>
      </c>
      <c r="V11" s="222"/>
      <c r="W11" s="222"/>
      <c r="X11" s="222">
        <f t="shared" si="1"/>
        <v>10393</v>
      </c>
      <c r="Y11" s="194">
        <f t="shared" si="5"/>
        <v>821.0687699999999</v>
      </c>
      <c r="Z11" s="177"/>
      <c r="AA11" s="182"/>
      <c r="AB11" s="194">
        <f t="shared" si="6"/>
        <v>0</v>
      </c>
      <c r="AC11" s="207"/>
      <c r="AD11" s="183" t="s">
        <v>18</v>
      </c>
      <c r="AG11" s="194"/>
    </row>
    <row r="12" spans="1:33" ht="18.75" customHeight="1">
      <c r="A12" s="178">
        <f t="shared" si="2"/>
        <v>7</v>
      </c>
      <c r="B12" s="183" t="s">
        <v>12</v>
      </c>
      <c r="C12" s="212">
        <f>G12+L12+M12+N12-H12-600</f>
        <v>7422.643890000001</v>
      </c>
      <c r="D12" s="196">
        <v>261.3</v>
      </c>
      <c r="E12" s="197">
        <v>550</v>
      </c>
      <c r="F12" s="210">
        <v>1435.3438900000003</v>
      </c>
      <c r="G12" s="182">
        <f t="shared" si="0"/>
        <v>2246.6438900000003</v>
      </c>
      <c r="H12" s="196">
        <v>1272.6</v>
      </c>
      <c r="I12" s="230">
        <v>6805</v>
      </c>
      <c r="J12" s="218"/>
      <c r="K12" s="204">
        <v>194.6</v>
      </c>
      <c r="L12" s="202">
        <f t="shared" si="4"/>
        <v>6999.6</v>
      </c>
      <c r="M12" s="203">
        <v>0</v>
      </c>
      <c r="N12" s="203">
        <v>49</v>
      </c>
      <c r="O12" s="220">
        <v>588</v>
      </c>
      <c r="P12" s="221">
        <v>2410</v>
      </c>
      <c r="Q12" s="222">
        <f>3293</f>
        <v>3293</v>
      </c>
      <c r="R12" s="222">
        <v>1987</v>
      </c>
      <c r="S12" s="222">
        <v>436</v>
      </c>
      <c r="T12" s="222">
        <v>107</v>
      </c>
      <c r="U12" s="222">
        <v>43</v>
      </c>
      <c r="V12" s="222"/>
      <c r="W12" s="222"/>
      <c r="X12" s="222">
        <f t="shared" si="1"/>
        <v>8276</v>
      </c>
      <c r="Y12" s="194">
        <f t="shared" si="5"/>
        <v>-265.3561099999988</v>
      </c>
      <c r="Z12" s="177">
        <v>423.1</v>
      </c>
      <c r="AA12" s="182"/>
      <c r="AB12" s="194">
        <f t="shared" si="6"/>
        <v>362.76078879679903</v>
      </c>
      <c r="AC12" s="207">
        <v>362.8</v>
      </c>
      <c r="AD12" s="183" t="s">
        <v>12</v>
      </c>
      <c r="AG12" s="194">
        <v>353.5</v>
      </c>
    </row>
    <row r="13" spans="1:33" ht="18.75" customHeight="1">
      <c r="A13" s="178">
        <f t="shared" si="2"/>
        <v>8</v>
      </c>
      <c r="B13" s="183" t="s">
        <v>19</v>
      </c>
      <c r="C13" s="212">
        <f>G13+L13+M13+N13-H13+220</f>
        <v>13225.38929</v>
      </c>
      <c r="D13" s="196">
        <v>1259</v>
      </c>
      <c r="E13" s="197">
        <v>2163.9</v>
      </c>
      <c r="F13" s="210">
        <v>2243.3892899999996</v>
      </c>
      <c r="G13" s="182">
        <f t="shared" si="0"/>
        <v>5666.28929</v>
      </c>
      <c r="H13" s="196">
        <v>2096.1</v>
      </c>
      <c r="I13" s="230">
        <v>6204.2</v>
      </c>
      <c r="J13" s="218"/>
      <c r="K13" s="204">
        <v>0</v>
      </c>
      <c r="L13" s="202">
        <f t="shared" si="4"/>
        <v>6204.2</v>
      </c>
      <c r="M13" s="203">
        <v>993</v>
      </c>
      <c r="N13" s="203">
        <v>2238</v>
      </c>
      <c r="O13" s="220">
        <v>203</v>
      </c>
      <c r="P13" s="221">
        <v>2270</v>
      </c>
      <c r="Q13" s="222">
        <v>5790</v>
      </c>
      <c r="R13" s="222">
        <v>3576</v>
      </c>
      <c r="S13" s="222">
        <v>1323</v>
      </c>
      <c r="T13" s="222">
        <v>556</v>
      </c>
      <c r="U13" s="222">
        <v>1</v>
      </c>
      <c r="V13" s="222"/>
      <c r="W13" s="222"/>
      <c r="X13" s="222">
        <f t="shared" si="1"/>
        <v>13516</v>
      </c>
      <c r="Y13" s="194">
        <f t="shared" si="5"/>
        <v>-87.61071000000084</v>
      </c>
      <c r="Z13" s="177">
        <v>367.8</v>
      </c>
      <c r="AA13" s="182"/>
      <c r="AB13" s="194">
        <f t="shared" si="6"/>
        <v>315.3472420691626</v>
      </c>
      <c r="AC13" s="207">
        <v>315.4</v>
      </c>
      <c r="AD13" s="183" t="s">
        <v>19</v>
      </c>
      <c r="AG13" s="194">
        <v>304.6</v>
      </c>
    </row>
    <row r="14" spans="1:33" ht="18.75" customHeight="1">
      <c r="A14" s="178">
        <f t="shared" si="2"/>
        <v>9</v>
      </c>
      <c r="B14" s="183" t="s">
        <v>20</v>
      </c>
      <c r="C14" s="212">
        <f t="shared" si="3"/>
        <v>12602.83948</v>
      </c>
      <c r="D14" s="196">
        <v>912</v>
      </c>
      <c r="E14" s="197">
        <v>520</v>
      </c>
      <c r="F14" s="210">
        <v>1958.6394799999998</v>
      </c>
      <c r="G14" s="182">
        <f t="shared" si="0"/>
        <v>3390.63948</v>
      </c>
      <c r="H14" s="196">
        <v>1721.9</v>
      </c>
      <c r="I14" s="230">
        <v>10365.4</v>
      </c>
      <c r="J14" s="218"/>
      <c r="K14" s="204">
        <v>568.7</v>
      </c>
      <c r="L14" s="202">
        <f t="shared" si="4"/>
        <v>10934.1</v>
      </c>
      <c r="M14" s="203">
        <v>0</v>
      </c>
      <c r="N14" s="203">
        <v>0</v>
      </c>
      <c r="O14" s="220">
        <v>584</v>
      </c>
      <c r="P14" s="221">
        <v>3228</v>
      </c>
      <c r="Q14" s="222">
        <v>4108</v>
      </c>
      <c r="R14" s="222">
        <v>2824</v>
      </c>
      <c r="S14" s="222">
        <v>658</v>
      </c>
      <c r="T14" s="222">
        <v>652</v>
      </c>
      <c r="U14" s="222">
        <v>17</v>
      </c>
      <c r="V14" s="222"/>
      <c r="W14" s="222"/>
      <c r="X14" s="222">
        <f t="shared" si="1"/>
        <v>11487</v>
      </c>
      <c r="Y14" s="194">
        <f t="shared" si="5"/>
        <v>1699.8394800000005</v>
      </c>
      <c r="Z14" s="177"/>
      <c r="AA14" s="182"/>
      <c r="AB14" s="194">
        <f t="shared" si="6"/>
        <v>0</v>
      </c>
      <c r="AC14" s="207"/>
      <c r="AD14" s="183" t="s">
        <v>20</v>
      </c>
      <c r="AG14" s="194"/>
    </row>
    <row r="15" spans="1:33" ht="18.75" customHeight="1">
      <c r="A15" s="178">
        <f t="shared" si="2"/>
        <v>10</v>
      </c>
      <c r="B15" s="183" t="s">
        <v>21</v>
      </c>
      <c r="C15" s="212">
        <f>G15+L15+M15+N15-H15+50</f>
        <v>12831.77585</v>
      </c>
      <c r="D15" s="196">
        <v>430.2</v>
      </c>
      <c r="E15" s="197">
        <v>162</v>
      </c>
      <c r="F15" s="210">
        <v>2885.4758500000003</v>
      </c>
      <c r="G15" s="182">
        <f t="shared" si="0"/>
        <v>3477.6758500000005</v>
      </c>
      <c r="H15" s="196">
        <v>2695.1</v>
      </c>
      <c r="I15" s="230">
        <v>10813.2</v>
      </c>
      <c r="J15" s="218"/>
      <c r="K15" s="204">
        <v>644</v>
      </c>
      <c r="L15" s="202">
        <f t="shared" si="4"/>
        <v>11457.2</v>
      </c>
      <c r="M15" s="203">
        <v>0</v>
      </c>
      <c r="N15" s="203">
        <v>542</v>
      </c>
      <c r="O15" s="220">
        <v>1745</v>
      </c>
      <c r="P15" s="221">
        <v>4313</v>
      </c>
      <c r="Q15" s="222">
        <v>4477</v>
      </c>
      <c r="R15" s="222">
        <v>4043</v>
      </c>
      <c r="S15" s="222">
        <v>1179</v>
      </c>
      <c r="T15" s="222">
        <v>417</v>
      </c>
      <c r="U15" s="222">
        <v>15</v>
      </c>
      <c r="V15" s="222">
        <v>380</v>
      </c>
      <c r="W15" s="222"/>
      <c r="X15" s="222">
        <f t="shared" si="1"/>
        <v>14824</v>
      </c>
      <c r="Y15" s="194">
        <f t="shared" si="5"/>
        <v>-247.22415</v>
      </c>
      <c r="Z15" s="177">
        <v>492.8</v>
      </c>
      <c r="AA15" s="182"/>
      <c r="AB15" s="194">
        <f t="shared" si="6"/>
        <v>422.520720205773</v>
      </c>
      <c r="AC15" s="207">
        <v>422.5</v>
      </c>
      <c r="AD15" s="183" t="s">
        <v>21</v>
      </c>
      <c r="AG15" s="194">
        <v>400</v>
      </c>
    </row>
    <row r="16" spans="1:33" ht="18.75" customHeight="1">
      <c r="A16" s="178">
        <f t="shared" si="2"/>
        <v>11</v>
      </c>
      <c r="B16" s="183" t="s">
        <v>22</v>
      </c>
      <c r="C16" s="212">
        <f t="shared" si="3"/>
        <v>10986.442710000001</v>
      </c>
      <c r="D16" s="196">
        <v>298</v>
      </c>
      <c r="E16" s="197">
        <v>324</v>
      </c>
      <c r="F16" s="210">
        <v>847.5427099999999</v>
      </c>
      <c r="G16" s="182">
        <f t="shared" si="0"/>
        <v>1469.54271</v>
      </c>
      <c r="H16" s="196">
        <v>673.8</v>
      </c>
      <c r="I16" s="230">
        <v>9264.2</v>
      </c>
      <c r="J16" s="218"/>
      <c r="K16" s="204">
        <v>444.5</v>
      </c>
      <c r="L16" s="202">
        <f t="shared" si="4"/>
        <v>9708.7</v>
      </c>
      <c r="M16" s="203">
        <v>0</v>
      </c>
      <c r="N16" s="203">
        <v>482</v>
      </c>
      <c r="O16" s="220">
        <v>438</v>
      </c>
      <c r="P16" s="221">
        <v>2653</v>
      </c>
      <c r="Q16" s="222">
        <v>4034</v>
      </c>
      <c r="R16" s="222">
        <v>2273</v>
      </c>
      <c r="S16" s="222">
        <v>519</v>
      </c>
      <c r="T16" s="222">
        <v>425</v>
      </c>
      <c r="U16" s="222">
        <v>109</v>
      </c>
      <c r="V16" s="222">
        <v>356</v>
      </c>
      <c r="W16" s="222"/>
      <c r="X16" s="222">
        <f t="shared" si="1"/>
        <v>10369</v>
      </c>
      <c r="Y16" s="194">
        <f t="shared" si="5"/>
        <v>1055.4427100000012</v>
      </c>
      <c r="Z16" s="177"/>
      <c r="AA16" s="182"/>
      <c r="AB16" s="194">
        <f t="shared" si="6"/>
        <v>0</v>
      </c>
      <c r="AC16" s="207"/>
      <c r="AD16" s="183" t="s">
        <v>22</v>
      </c>
      <c r="AG16" s="194"/>
    </row>
    <row r="17" spans="1:33" ht="18.75" customHeight="1">
      <c r="A17" s="178">
        <f t="shared" si="2"/>
        <v>12</v>
      </c>
      <c r="B17" s="183" t="s">
        <v>23</v>
      </c>
      <c r="C17" s="212">
        <f t="shared" si="3"/>
        <v>11271.147860000001</v>
      </c>
      <c r="D17" s="196">
        <v>554</v>
      </c>
      <c r="E17" s="197">
        <v>205</v>
      </c>
      <c r="F17" s="210">
        <v>2128.94786</v>
      </c>
      <c r="G17" s="182">
        <f t="shared" si="0"/>
        <v>2887.94786</v>
      </c>
      <c r="H17" s="196">
        <v>1946.4</v>
      </c>
      <c r="I17" s="230">
        <v>9783.5</v>
      </c>
      <c r="J17" s="218"/>
      <c r="K17" s="204">
        <v>546.1</v>
      </c>
      <c r="L17" s="202">
        <f t="shared" si="4"/>
        <v>10329.6</v>
      </c>
      <c r="M17" s="203">
        <v>0</v>
      </c>
      <c r="N17" s="203">
        <v>0</v>
      </c>
      <c r="O17" s="220">
        <v>353</v>
      </c>
      <c r="P17" s="221">
        <v>3116</v>
      </c>
      <c r="Q17" s="222">
        <v>3955</v>
      </c>
      <c r="R17" s="222">
        <v>2859</v>
      </c>
      <c r="S17" s="222">
        <v>675</v>
      </c>
      <c r="T17" s="223"/>
      <c r="U17" s="222">
        <v>27</v>
      </c>
      <c r="V17" s="222"/>
      <c r="W17" s="222"/>
      <c r="X17" s="222">
        <f t="shared" si="1"/>
        <v>10632</v>
      </c>
      <c r="Y17" s="194">
        <f t="shared" si="5"/>
        <v>992.147860000001</v>
      </c>
      <c r="Z17" s="177"/>
      <c r="AA17" s="182"/>
      <c r="AB17" s="194">
        <f t="shared" si="6"/>
        <v>0</v>
      </c>
      <c r="AC17" s="207"/>
      <c r="AD17" s="183" t="s">
        <v>23</v>
      </c>
      <c r="AG17" s="194"/>
    </row>
    <row r="18" spans="1:33" ht="18.75" customHeight="1">
      <c r="A18" s="178">
        <f t="shared" si="2"/>
        <v>13</v>
      </c>
      <c r="B18" s="183" t="s">
        <v>24</v>
      </c>
      <c r="C18" s="212">
        <f>G18+L18+M18+N18-H18-300</f>
        <v>6204.873070000001</v>
      </c>
      <c r="D18" s="196">
        <v>170</v>
      </c>
      <c r="E18" s="197">
        <v>46.6</v>
      </c>
      <c r="F18" s="210">
        <v>382.0730699999999</v>
      </c>
      <c r="G18" s="182">
        <f t="shared" si="0"/>
        <v>598.6730699999999</v>
      </c>
      <c r="H18" s="196">
        <v>299.4</v>
      </c>
      <c r="I18" s="230">
        <v>5857.8</v>
      </c>
      <c r="J18" s="218"/>
      <c r="K18" s="204">
        <v>93.8</v>
      </c>
      <c r="L18" s="202">
        <f t="shared" si="4"/>
        <v>5951.6</v>
      </c>
      <c r="M18" s="203">
        <v>0</v>
      </c>
      <c r="N18" s="203">
        <v>254</v>
      </c>
      <c r="O18" s="220">
        <v>22</v>
      </c>
      <c r="P18" s="221">
        <v>1652</v>
      </c>
      <c r="Q18" s="222">
        <v>2652</v>
      </c>
      <c r="R18" s="222">
        <v>1762</v>
      </c>
      <c r="S18" s="222">
        <v>393</v>
      </c>
      <c r="T18" s="222">
        <v>139</v>
      </c>
      <c r="U18" s="222">
        <v>8</v>
      </c>
      <c r="V18" s="222"/>
      <c r="W18" s="222"/>
      <c r="X18" s="222">
        <f t="shared" si="1"/>
        <v>6606</v>
      </c>
      <c r="Y18" s="194">
        <f t="shared" si="5"/>
        <v>-379.12692999999945</v>
      </c>
      <c r="Z18" s="177">
        <v>508.2</v>
      </c>
      <c r="AA18" s="182"/>
      <c r="AB18" s="194">
        <f t="shared" si="6"/>
        <v>435.7244927122034</v>
      </c>
      <c r="AC18" s="207">
        <v>435.7</v>
      </c>
      <c r="AD18" s="183" t="s">
        <v>24</v>
      </c>
      <c r="AG18" s="194">
        <v>402.8</v>
      </c>
    </row>
    <row r="19" spans="1:33" ht="18.75" customHeight="1">
      <c r="A19" s="178">
        <f t="shared" si="2"/>
        <v>14</v>
      </c>
      <c r="B19" s="183" t="s">
        <v>25</v>
      </c>
      <c r="C19" s="212">
        <f t="shared" si="3"/>
        <v>5381</v>
      </c>
      <c r="D19" s="196">
        <v>417</v>
      </c>
      <c r="E19" s="197">
        <v>160</v>
      </c>
      <c r="F19" s="210">
        <v>682.8</v>
      </c>
      <c r="G19" s="182">
        <f t="shared" si="0"/>
        <v>1259.8</v>
      </c>
      <c r="H19" s="196">
        <v>673.8</v>
      </c>
      <c r="I19" s="230">
        <v>4795</v>
      </c>
      <c r="J19" s="218"/>
      <c r="K19" s="204">
        <v>0</v>
      </c>
      <c r="L19" s="202">
        <f t="shared" si="4"/>
        <v>4795</v>
      </c>
      <c r="M19" s="203">
        <v>0</v>
      </c>
      <c r="N19" s="203">
        <v>0</v>
      </c>
      <c r="O19" s="220">
        <v>52</v>
      </c>
      <c r="P19" s="221">
        <v>663</v>
      </c>
      <c r="Q19" s="222">
        <v>3153</v>
      </c>
      <c r="R19" s="222">
        <v>500</v>
      </c>
      <c r="S19" s="222">
        <v>422</v>
      </c>
      <c r="T19" s="222">
        <v>139</v>
      </c>
      <c r="U19" s="222">
        <v>12</v>
      </c>
      <c r="V19" s="222"/>
      <c r="W19" s="222"/>
      <c r="X19" s="222">
        <f t="shared" si="1"/>
        <v>4889</v>
      </c>
      <c r="Y19" s="194">
        <f t="shared" si="5"/>
        <v>544</v>
      </c>
      <c r="Z19" s="177"/>
      <c r="AA19" s="182"/>
      <c r="AB19" s="194">
        <f t="shared" si="6"/>
        <v>0</v>
      </c>
      <c r="AC19" s="207"/>
      <c r="AD19" s="183" t="s">
        <v>25</v>
      </c>
      <c r="AG19" s="194"/>
    </row>
    <row r="20" spans="1:33" ht="18.75" customHeight="1">
      <c r="A20" s="178">
        <f t="shared" si="2"/>
        <v>15</v>
      </c>
      <c r="B20" s="183" t="s">
        <v>26</v>
      </c>
      <c r="C20" s="212">
        <f>G20+L20+M20+N20-H20-450</f>
        <v>13230.7703</v>
      </c>
      <c r="D20" s="196">
        <v>736.3</v>
      </c>
      <c r="E20" s="197">
        <v>280</v>
      </c>
      <c r="F20" s="210">
        <v>3606.3702999999996</v>
      </c>
      <c r="G20" s="182">
        <f t="shared" si="0"/>
        <v>4622.6703</v>
      </c>
      <c r="H20" s="196">
        <v>3219</v>
      </c>
      <c r="I20" s="230">
        <v>11557.5</v>
      </c>
      <c r="J20" s="218"/>
      <c r="K20" s="204">
        <v>343.6</v>
      </c>
      <c r="L20" s="202">
        <f t="shared" si="4"/>
        <v>11901.1</v>
      </c>
      <c r="M20" s="203">
        <v>0</v>
      </c>
      <c r="N20" s="203">
        <v>376</v>
      </c>
      <c r="O20" s="220">
        <v>741</v>
      </c>
      <c r="P20" s="221">
        <v>4478</v>
      </c>
      <c r="Q20" s="222">
        <v>5018</v>
      </c>
      <c r="R20" s="222">
        <v>2904</v>
      </c>
      <c r="S20" s="222">
        <v>704</v>
      </c>
      <c r="T20" s="222">
        <v>1112</v>
      </c>
      <c r="U20" s="222">
        <v>42</v>
      </c>
      <c r="V20" s="222"/>
      <c r="W20" s="222"/>
      <c r="X20" s="222">
        <f t="shared" si="1"/>
        <v>14258</v>
      </c>
      <c r="Y20" s="194">
        <f t="shared" si="5"/>
        <v>-286.22969999999987</v>
      </c>
      <c r="Z20" s="177">
        <v>546.1</v>
      </c>
      <c r="AA20" s="182"/>
      <c r="AB20" s="194">
        <f t="shared" si="6"/>
        <v>468.2194912832237</v>
      </c>
      <c r="AC20" s="207">
        <v>468.2</v>
      </c>
      <c r="AD20" s="183" t="s">
        <v>26</v>
      </c>
      <c r="AG20" s="194">
        <v>450.3</v>
      </c>
    </row>
    <row r="21" spans="1:33" ht="18.75" customHeight="1">
      <c r="A21" s="178">
        <f t="shared" si="2"/>
        <v>16</v>
      </c>
      <c r="B21" s="183" t="s">
        <v>27</v>
      </c>
      <c r="C21" s="212">
        <f>G21+L21+M21+N21-H21-900</f>
        <v>9130.3807</v>
      </c>
      <c r="D21" s="196">
        <v>245</v>
      </c>
      <c r="E21" s="197">
        <v>521.9</v>
      </c>
      <c r="F21" s="210">
        <v>1237.4807</v>
      </c>
      <c r="G21" s="182">
        <f t="shared" si="0"/>
        <v>2004.3807000000002</v>
      </c>
      <c r="H21" s="196">
        <v>898.3</v>
      </c>
      <c r="I21" s="230">
        <v>8454.8</v>
      </c>
      <c r="J21" s="218"/>
      <c r="K21" s="204">
        <v>469.5</v>
      </c>
      <c r="L21" s="202">
        <f t="shared" si="4"/>
        <v>8924.3</v>
      </c>
      <c r="M21" s="203">
        <v>0</v>
      </c>
      <c r="N21" s="203">
        <v>0</v>
      </c>
      <c r="O21" s="220">
        <v>863</v>
      </c>
      <c r="P21" s="221">
        <v>2348</v>
      </c>
      <c r="Q21" s="222">
        <f>3470</f>
        <v>3470</v>
      </c>
      <c r="R21" s="222">
        <v>2816</v>
      </c>
      <c r="S21" s="222">
        <v>1313</v>
      </c>
      <c r="T21" s="222">
        <v>299</v>
      </c>
      <c r="U21" s="222">
        <v>8</v>
      </c>
      <c r="V21" s="222"/>
      <c r="W21" s="222"/>
      <c r="X21" s="222">
        <f t="shared" si="1"/>
        <v>10254</v>
      </c>
      <c r="Y21" s="194">
        <f t="shared" si="5"/>
        <v>-260.6193000000003</v>
      </c>
      <c r="Z21" s="177">
        <v>456.3</v>
      </c>
      <c r="AA21" s="182"/>
      <c r="AB21" s="194">
        <f t="shared" si="6"/>
        <v>391.2260645898828</v>
      </c>
      <c r="AC21" s="207">
        <v>391.2</v>
      </c>
      <c r="AD21" s="183" t="s">
        <v>27</v>
      </c>
      <c r="AG21" s="194">
        <v>345.3</v>
      </c>
    </row>
    <row r="22" spans="1:33" ht="18.75" customHeight="1">
      <c r="A22" s="178">
        <f t="shared" si="2"/>
        <v>17</v>
      </c>
      <c r="B22" s="183" t="s">
        <v>28</v>
      </c>
      <c r="C22" s="212">
        <f>G22+L22+M22+N22-H22+80</f>
        <v>7659.62837</v>
      </c>
      <c r="D22" s="196">
        <v>114</v>
      </c>
      <c r="E22" s="197">
        <v>81</v>
      </c>
      <c r="F22" s="210">
        <v>933.1283700000001</v>
      </c>
      <c r="G22" s="182">
        <f t="shared" si="0"/>
        <v>1128.1283700000001</v>
      </c>
      <c r="H22" s="196">
        <v>748.6</v>
      </c>
      <c r="I22" s="230">
        <v>6231.9</v>
      </c>
      <c r="J22" s="218"/>
      <c r="K22" s="204">
        <v>369.2</v>
      </c>
      <c r="L22" s="202">
        <f t="shared" si="4"/>
        <v>6601.099999999999</v>
      </c>
      <c r="M22" s="203">
        <v>0</v>
      </c>
      <c r="N22" s="203">
        <v>599</v>
      </c>
      <c r="O22" s="220">
        <v>21</v>
      </c>
      <c r="P22" s="221">
        <v>1838</v>
      </c>
      <c r="Q22" s="222">
        <f>2968</f>
        <v>2968</v>
      </c>
      <c r="R22" s="222">
        <v>1885</v>
      </c>
      <c r="S22" s="222">
        <v>234</v>
      </c>
      <c r="T22" s="222">
        <v>281</v>
      </c>
      <c r="U22" s="222">
        <v>16</v>
      </c>
      <c r="V22" s="222">
        <v>665</v>
      </c>
      <c r="W22" s="222"/>
      <c r="X22" s="222">
        <f t="shared" si="1"/>
        <v>7887</v>
      </c>
      <c r="Y22" s="194">
        <f t="shared" si="5"/>
        <v>-206.37162999999964</v>
      </c>
      <c r="Z22" s="177">
        <v>339.8</v>
      </c>
      <c r="AA22" s="182"/>
      <c r="AB22" s="194">
        <f t="shared" si="6"/>
        <v>291.3403829665618</v>
      </c>
      <c r="AC22" s="207">
        <v>291.3</v>
      </c>
      <c r="AD22" s="183" t="s">
        <v>28</v>
      </c>
      <c r="AG22" s="194">
        <v>284.9</v>
      </c>
    </row>
    <row r="23" spans="1:33" ht="18.75" customHeight="1">
      <c r="A23" s="178">
        <f t="shared" si="2"/>
        <v>18</v>
      </c>
      <c r="B23" s="183" t="s">
        <v>29</v>
      </c>
      <c r="C23" s="212">
        <f>G23+L23+M23+N23-H23+1400</f>
        <v>6689.8294000000005</v>
      </c>
      <c r="D23" s="196">
        <v>84</v>
      </c>
      <c r="E23" s="197">
        <v>48.2</v>
      </c>
      <c r="F23" s="210">
        <v>839.1294</v>
      </c>
      <c r="G23" s="182">
        <f t="shared" si="0"/>
        <v>971.3294000000001</v>
      </c>
      <c r="H23" s="196">
        <v>748.6</v>
      </c>
      <c r="I23" s="230">
        <v>4389.1</v>
      </c>
      <c r="J23" s="218"/>
      <c r="K23" s="204">
        <v>319</v>
      </c>
      <c r="L23" s="202">
        <f t="shared" si="4"/>
        <v>4708.1</v>
      </c>
      <c r="M23" s="203">
        <v>0</v>
      </c>
      <c r="N23" s="203">
        <v>359</v>
      </c>
      <c r="O23" s="220">
        <v>23</v>
      </c>
      <c r="P23" s="221">
        <v>1582</v>
      </c>
      <c r="Q23" s="222">
        <f>2002</f>
        <v>2002</v>
      </c>
      <c r="R23" s="222">
        <v>1611</v>
      </c>
      <c r="S23" s="222">
        <v>422</v>
      </c>
      <c r="T23" s="222">
        <v>139</v>
      </c>
      <c r="U23" s="222">
        <v>14</v>
      </c>
      <c r="V23" s="222"/>
      <c r="W23" s="222"/>
      <c r="X23" s="222">
        <f t="shared" si="1"/>
        <v>5770</v>
      </c>
      <c r="Y23" s="194">
        <f t="shared" si="5"/>
        <v>942.8294000000005</v>
      </c>
      <c r="Z23" s="177"/>
      <c r="AA23" s="182"/>
      <c r="AB23" s="194">
        <f t="shared" si="6"/>
        <v>0</v>
      </c>
      <c r="AC23" s="207"/>
      <c r="AD23" s="183" t="s">
        <v>29</v>
      </c>
      <c r="AG23" s="194"/>
    </row>
    <row r="24" spans="1:33" ht="18.75" customHeight="1">
      <c r="A24" s="178">
        <f t="shared" si="2"/>
        <v>19</v>
      </c>
      <c r="B24" s="183" t="s">
        <v>30</v>
      </c>
      <c r="C24" s="212">
        <f t="shared" si="3"/>
        <v>10097.946899999999</v>
      </c>
      <c r="D24" s="196">
        <v>242</v>
      </c>
      <c r="E24" s="197">
        <v>439</v>
      </c>
      <c r="F24" s="210">
        <v>1878.0468999999998</v>
      </c>
      <c r="G24" s="182">
        <f t="shared" si="0"/>
        <v>2559.0469</v>
      </c>
      <c r="H24" s="196">
        <v>1497.2</v>
      </c>
      <c r="I24" s="230">
        <v>8352.6</v>
      </c>
      <c r="J24" s="218"/>
      <c r="K24" s="204">
        <v>683.5</v>
      </c>
      <c r="L24" s="202">
        <f t="shared" si="4"/>
        <v>9036.1</v>
      </c>
      <c r="M24" s="203">
        <v>0</v>
      </c>
      <c r="N24" s="203">
        <v>0</v>
      </c>
      <c r="O24" s="220">
        <v>1368</v>
      </c>
      <c r="P24" s="221">
        <v>3289</v>
      </c>
      <c r="Q24" s="222">
        <v>4030</v>
      </c>
      <c r="R24" s="222">
        <v>1665</v>
      </c>
      <c r="S24" s="222">
        <v>761</v>
      </c>
      <c r="T24" s="223"/>
      <c r="U24" s="222">
        <v>21</v>
      </c>
      <c r="V24" s="222"/>
      <c r="W24" s="222"/>
      <c r="X24" s="222">
        <f t="shared" si="1"/>
        <v>9766</v>
      </c>
      <c r="Y24" s="194">
        <f t="shared" si="5"/>
        <v>1699.946899999999</v>
      </c>
      <c r="Z24" s="177"/>
      <c r="AA24" s="182"/>
      <c r="AB24" s="194">
        <f t="shared" si="6"/>
        <v>0</v>
      </c>
      <c r="AC24" s="207"/>
      <c r="AD24" s="183" t="s">
        <v>30</v>
      </c>
      <c r="AG24" s="194"/>
    </row>
    <row r="25" spans="1:33" ht="18.75" customHeight="1">
      <c r="A25" s="178">
        <f t="shared" si="2"/>
        <v>20</v>
      </c>
      <c r="B25" s="183" t="s">
        <v>31</v>
      </c>
      <c r="C25" s="212">
        <f>G25+L25+M25+N25-H25+70</f>
        <v>16234.506849999998</v>
      </c>
      <c r="D25" s="196">
        <v>995</v>
      </c>
      <c r="E25" s="197">
        <v>-20</v>
      </c>
      <c r="F25" s="210">
        <v>1578.70685</v>
      </c>
      <c r="G25" s="182">
        <f t="shared" si="0"/>
        <v>2553.70685</v>
      </c>
      <c r="H25" s="196">
        <v>1347.5</v>
      </c>
      <c r="I25" s="230">
        <v>14958.3</v>
      </c>
      <c r="J25" s="218"/>
      <c r="K25" s="204">
        <v>0</v>
      </c>
      <c r="L25" s="202">
        <f t="shared" si="4"/>
        <v>14958.3</v>
      </c>
      <c r="M25" s="203">
        <v>0</v>
      </c>
      <c r="N25" s="203">
        <v>0</v>
      </c>
      <c r="O25" s="220">
        <v>1268</v>
      </c>
      <c r="P25" s="221">
        <v>4839</v>
      </c>
      <c r="Q25" s="222">
        <v>5633</v>
      </c>
      <c r="R25" s="222">
        <v>3336</v>
      </c>
      <c r="S25" s="222">
        <v>701</v>
      </c>
      <c r="T25" s="223"/>
      <c r="U25" s="222">
        <v>607</v>
      </c>
      <c r="V25" s="222"/>
      <c r="W25" s="222"/>
      <c r="X25" s="222">
        <f t="shared" si="1"/>
        <v>15116</v>
      </c>
      <c r="Y25" s="194">
        <f t="shared" si="5"/>
        <v>2386.506849999998</v>
      </c>
      <c r="Z25" s="177"/>
      <c r="AA25" s="182"/>
      <c r="AB25" s="194">
        <f t="shared" si="6"/>
        <v>0</v>
      </c>
      <c r="AC25" s="207"/>
      <c r="AD25" s="183" t="s">
        <v>31</v>
      </c>
      <c r="AG25" s="194"/>
    </row>
    <row r="26" spans="1:33" ht="18.75" customHeight="1">
      <c r="A26" s="178">
        <f t="shared" si="2"/>
        <v>21</v>
      </c>
      <c r="B26" s="183" t="s">
        <v>32</v>
      </c>
      <c r="C26" s="212">
        <f t="shared" si="3"/>
        <v>6565.85993</v>
      </c>
      <c r="D26" s="196">
        <v>109</v>
      </c>
      <c r="E26" s="197">
        <v>73</v>
      </c>
      <c r="F26" s="210">
        <v>1051.45993</v>
      </c>
      <c r="G26" s="182">
        <f t="shared" si="0"/>
        <v>1233.45993</v>
      </c>
      <c r="H26" s="196">
        <v>973.3</v>
      </c>
      <c r="I26" s="230">
        <v>5774.2</v>
      </c>
      <c r="J26" s="218"/>
      <c r="K26" s="204">
        <v>531.5</v>
      </c>
      <c r="L26" s="202">
        <f t="shared" si="4"/>
        <v>6305.7</v>
      </c>
      <c r="M26" s="203">
        <v>0</v>
      </c>
      <c r="N26" s="203">
        <v>0</v>
      </c>
      <c r="O26" s="220">
        <v>477</v>
      </c>
      <c r="P26" s="221">
        <v>1302</v>
      </c>
      <c r="Q26" s="222">
        <v>3477</v>
      </c>
      <c r="R26" s="222">
        <v>1453</v>
      </c>
      <c r="S26" s="222">
        <v>384</v>
      </c>
      <c r="T26" s="223"/>
      <c r="U26" s="222">
        <v>3</v>
      </c>
      <c r="V26" s="222"/>
      <c r="W26" s="222"/>
      <c r="X26" s="222">
        <f t="shared" si="1"/>
        <v>6619</v>
      </c>
      <c r="Y26" s="194">
        <f t="shared" si="5"/>
        <v>423.8599299999996</v>
      </c>
      <c r="Z26" s="177"/>
      <c r="AA26" s="182"/>
      <c r="AB26" s="194">
        <f t="shared" si="6"/>
        <v>0</v>
      </c>
      <c r="AC26" s="207"/>
      <c r="AD26" s="183" t="s">
        <v>32</v>
      </c>
      <c r="AG26" s="194"/>
    </row>
    <row r="27" spans="1:33" ht="18.75" customHeight="1">
      <c r="A27" s="178">
        <f t="shared" si="2"/>
        <v>22</v>
      </c>
      <c r="B27" s="183" t="s">
        <v>33</v>
      </c>
      <c r="C27" s="212">
        <f t="shared" si="3"/>
        <v>8084.607419999999</v>
      </c>
      <c r="D27" s="196">
        <v>135</v>
      </c>
      <c r="E27" s="197">
        <v>204</v>
      </c>
      <c r="F27" s="210">
        <v>832.6074199999998</v>
      </c>
      <c r="G27" s="182">
        <f t="shared" si="0"/>
        <v>1171.6074199999998</v>
      </c>
      <c r="H27" s="196">
        <v>673.8</v>
      </c>
      <c r="I27" s="230">
        <v>6941.7</v>
      </c>
      <c r="J27" s="218"/>
      <c r="K27" s="204">
        <v>318.1</v>
      </c>
      <c r="L27" s="202">
        <f t="shared" si="4"/>
        <v>7259.8</v>
      </c>
      <c r="M27" s="203">
        <v>0</v>
      </c>
      <c r="N27" s="203">
        <v>327</v>
      </c>
      <c r="O27" s="220">
        <v>58</v>
      </c>
      <c r="P27" s="221">
        <v>2502</v>
      </c>
      <c r="Q27" s="222">
        <v>2712</v>
      </c>
      <c r="R27" s="222">
        <v>1586</v>
      </c>
      <c r="S27" s="222">
        <v>438</v>
      </c>
      <c r="T27" s="222">
        <v>139</v>
      </c>
      <c r="U27" s="222">
        <v>17</v>
      </c>
      <c r="V27" s="222"/>
      <c r="W27" s="222"/>
      <c r="X27" s="222">
        <f t="shared" si="1"/>
        <v>7394</v>
      </c>
      <c r="Y27" s="194">
        <f t="shared" si="5"/>
        <v>748.6074199999994</v>
      </c>
      <c r="Z27" s="177"/>
      <c r="AA27" s="182"/>
      <c r="AB27" s="194">
        <f t="shared" si="6"/>
        <v>0</v>
      </c>
      <c r="AC27" s="207"/>
      <c r="AD27" s="183" t="s">
        <v>33</v>
      </c>
      <c r="AG27" s="194"/>
    </row>
    <row r="28" spans="1:33" ht="18.75" customHeight="1">
      <c r="A28" s="178">
        <f t="shared" si="2"/>
        <v>23</v>
      </c>
      <c r="B28" s="183" t="s">
        <v>34</v>
      </c>
      <c r="C28" s="212">
        <f t="shared" si="3"/>
        <v>4980.7</v>
      </c>
      <c r="D28" s="196">
        <v>105.3</v>
      </c>
      <c r="E28" s="197">
        <v>120</v>
      </c>
      <c r="F28" s="210">
        <v>677.6</v>
      </c>
      <c r="G28" s="182">
        <f t="shared" si="0"/>
        <v>902.9000000000001</v>
      </c>
      <c r="H28" s="196">
        <v>598.8</v>
      </c>
      <c r="I28" s="230">
        <v>4376.5</v>
      </c>
      <c r="J28" s="218"/>
      <c r="K28" s="204">
        <v>300.1</v>
      </c>
      <c r="L28" s="202">
        <f t="shared" si="4"/>
        <v>4676.6</v>
      </c>
      <c r="M28" s="203">
        <v>0</v>
      </c>
      <c r="N28" s="203">
        <v>0</v>
      </c>
      <c r="O28" s="220">
        <v>617</v>
      </c>
      <c r="P28" s="221">
        <v>559</v>
      </c>
      <c r="Q28" s="222">
        <v>2488</v>
      </c>
      <c r="R28" s="222">
        <v>528</v>
      </c>
      <c r="S28" s="222">
        <v>420</v>
      </c>
      <c r="T28" s="222">
        <v>139</v>
      </c>
      <c r="U28" s="222">
        <v>2</v>
      </c>
      <c r="V28" s="222"/>
      <c r="W28" s="222"/>
      <c r="X28" s="222">
        <f t="shared" si="1"/>
        <v>4136</v>
      </c>
      <c r="Y28" s="194">
        <f t="shared" si="5"/>
        <v>1461.6999999999998</v>
      </c>
      <c r="Z28" s="177"/>
      <c r="AA28" s="182"/>
      <c r="AB28" s="194">
        <f t="shared" si="6"/>
        <v>0</v>
      </c>
      <c r="AC28" s="207"/>
      <c r="AD28" s="183" t="s">
        <v>34</v>
      </c>
      <c r="AG28" s="194"/>
    </row>
    <row r="29" spans="1:33" ht="18.75" customHeight="1">
      <c r="A29" s="178">
        <f t="shared" si="2"/>
        <v>24</v>
      </c>
      <c r="B29" s="183" t="s">
        <v>35</v>
      </c>
      <c r="C29" s="212">
        <f>G29+L29+M29+N29-H29+100</f>
        <v>16883.95204</v>
      </c>
      <c r="D29" s="196">
        <v>899</v>
      </c>
      <c r="E29" s="197">
        <v>1268.1</v>
      </c>
      <c r="F29" s="210">
        <v>2456.9520400000006</v>
      </c>
      <c r="G29" s="182">
        <f t="shared" si="0"/>
        <v>4624.0520400000005</v>
      </c>
      <c r="H29" s="196">
        <v>2171</v>
      </c>
      <c r="I29" s="230">
        <v>13081.9</v>
      </c>
      <c r="J29" s="218"/>
      <c r="K29" s="204">
        <v>0</v>
      </c>
      <c r="L29" s="202">
        <f t="shared" si="4"/>
        <v>13081.9</v>
      </c>
      <c r="M29" s="203">
        <v>0</v>
      </c>
      <c r="N29" s="203">
        <v>1249</v>
      </c>
      <c r="O29" s="220">
        <v>167</v>
      </c>
      <c r="P29" s="221">
        <v>3551</v>
      </c>
      <c r="Q29" s="222">
        <v>4887</v>
      </c>
      <c r="R29" s="222">
        <v>4498</v>
      </c>
      <c r="S29" s="222">
        <v>1299</v>
      </c>
      <c r="T29" s="222">
        <v>278</v>
      </c>
      <c r="U29" s="222">
        <v>205</v>
      </c>
      <c r="V29" s="222">
        <v>1200</v>
      </c>
      <c r="W29" s="222"/>
      <c r="X29" s="222">
        <f t="shared" si="1"/>
        <v>15918</v>
      </c>
      <c r="Y29" s="194">
        <f t="shared" si="5"/>
        <v>1132.9520400000001</v>
      </c>
      <c r="Z29" s="177"/>
      <c r="AA29" s="182"/>
      <c r="AB29" s="194">
        <f t="shared" si="6"/>
        <v>0</v>
      </c>
      <c r="AC29" s="207"/>
      <c r="AD29" s="183" t="s">
        <v>35</v>
      </c>
      <c r="AG29" s="194"/>
    </row>
    <row r="30" spans="1:33" s="181" customFormat="1" ht="18.75" customHeight="1">
      <c r="A30" s="180"/>
      <c r="B30" s="184"/>
      <c r="C30" s="212">
        <f>SUM(C6:C29)</f>
        <v>235332.43549</v>
      </c>
      <c r="D30" s="198">
        <f>SUM(D6:D29)</f>
        <v>19950.1</v>
      </c>
      <c r="E30" s="198">
        <f aca="true" t="shared" si="7" ref="E30:AC30">SUM(E6:E29)</f>
        <v>8311.6</v>
      </c>
      <c r="F30" s="211">
        <f t="shared" si="7"/>
        <v>35474.33549</v>
      </c>
      <c r="G30" s="211">
        <f t="shared" si="7"/>
        <v>63736.03549</v>
      </c>
      <c r="H30" s="198">
        <f t="shared" si="7"/>
        <v>30618.499999999996</v>
      </c>
      <c r="I30" s="231">
        <v>181947.3</v>
      </c>
      <c r="J30" s="198">
        <f t="shared" si="7"/>
        <v>0</v>
      </c>
      <c r="K30" s="198">
        <f t="shared" si="7"/>
        <v>7267.6</v>
      </c>
      <c r="L30" s="198">
        <f t="shared" si="7"/>
        <v>189214.90000000002</v>
      </c>
      <c r="M30" s="198">
        <f t="shared" si="7"/>
        <v>3000</v>
      </c>
      <c r="N30" s="198">
        <f t="shared" si="7"/>
        <v>10000</v>
      </c>
      <c r="O30" s="209">
        <f t="shared" si="7"/>
        <v>11525</v>
      </c>
      <c r="P30" s="198">
        <f>SUM(P6:P29)</f>
        <v>61136</v>
      </c>
      <c r="Q30" s="198">
        <f>SUM(Q6:Q29)</f>
        <v>89957</v>
      </c>
      <c r="R30" s="222">
        <v>53831</v>
      </c>
      <c r="S30" s="222">
        <v>17704</v>
      </c>
      <c r="T30" s="222">
        <v>6071</v>
      </c>
      <c r="U30" s="222">
        <v>1619</v>
      </c>
      <c r="V30" s="222">
        <v>9261</v>
      </c>
      <c r="W30" s="222"/>
      <c r="X30" s="198">
        <f>SUM(X6:X29)</f>
        <v>232919</v>
      </c>
      <c r="Y30" s="198">
        <f t="shared" si="7"/>
        <v>13938.435489999996</v>
      </c>
      <c r="Z30" s="198">
        <f t="shared" si="7"/>
        <v>5248.500000000001</v>
      </c>
      <c r="AA30" s="198">
        <f t="shared" si="7"/>
        <v>4500</v>
      </c>
      <c r="AB30" s="198">
        <f t="shared" si="7"/>
        <v>4500</v>
      </c>
      <c r="AC30" s="198">
        <f t="shared" si="7"/>
        <v>4500</v>
      </c>
      <c r="AD30" s="184"/>
      <c r="AG30" s="198">
        <f>SUM(AG6:AG29)</f>
        <v>4285.700000000001</v>
      </c>
    </row>
    <row r="31" spans="2:25" ht="19.5" customHeight="1">
      <c r="B31" s="192">
        <v>44186</v>
      </c>
      <c r="C31" s="216">
        <v>231047.44</v>
      </c>
      <c r="D31" s="190"/>
      <c r="E31" s="190"/>
      <c r="F31" s="190"/>
      <c r="G31" s="190"/>
      <c r="H31" s="199"/>
      <c r="I31" s="199"/>
      <c r="J31" s="191"/>
      <c r="K31" s="199"/>
      <c r="L31" s="190"/>
      <c r="M31" s="190"/>
      <c r="N31" s="190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</row>
    <row r="32" spans="2:25" ht="15.75">
      <c r="B32" s="192"/>
      <c r="G32" s="200"/>
      <c r="H32" s="200"/>
      <c r="I32" s="200"/>
      <c r="J32" s="201"/>
      <c r="K32" s="200">
        <f>I30+M30+N30</f>
        <v>194947.3</v>
      </c>
      <c r="L32" s="200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15"/>
    </row>
    <row r="33" spans="3:25" ht="15.75">
      <c r="C33" s="217"/>
      <c r="G33" s="200"/>
      <c r="J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</row>
    <row r="35" spans="2:16" ht="15.75">
      <c r="B35" s="192"/>
      <c r="P35" s="179" t="s">
        <v>155</v>
      </c>
    </row>
  </sheetData>
  <sheetProtection/>
  <mergeCells count="10">
    <mergeCell ref="C1:O1"/>
    <mergeCell ref="A2:A4"/>
    <mergeCell ref="B2:B4"/>
    <mergeCell ref="C2:N2"/>
    <mergeCell ref="O2:O3"/>
    <mergeCell ref="AC2:AC3"/>
    <mergeCell ref="P2:V2"/>
    <mergeCell ref="X2:X3"/>
    <mergeCell ref="Y2:Z3"/>
    <mergeCell ref="AB2:A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6" zoomScaleNormal="86" zoomScalePageLayoutView="0" workbookViewId="0" topLeftCell="A4">
      <pane xSplit="2" topLeftCell="F1" activePane="topRight" state="frozen"/>
      <selection pane="topLeft" activeCell="A4" sqref="A4"/>
      <selection pane="topRight" activeCell="L17" sqref="L17"/>
    </sheetView>
  </sheetViews>
  <sheetFormatPr defaultColWidth="16.8515625" defaultRowHeight="12.75"/>
  <cols>
    <col min="1" max="1" width="7.421875" style="179" customWidth="1"/>
    <col min="2" max="2" width="24.8515625" style="179" customWidth="1"/>
    <col min="3" max="9" width="18.7109375" style="179" customWidth="1"/>
    <col min="10" max="11" width="19.140625" style="179" customWidth="1"/>
    <col min="12" max="13" width="19.57421875" style="179" customWidth="1"/>
    <col min="14" max="14" width="6.8515625" style="179" customWidth="1"/>
    <col min="15" max="17" width="14.7109375" style="179" customWidth="1"/>
    <col min="18" max="179" width="9.140625" style="179" customWidth="1"/>
    <col min="180" max="180" width="7.421875" style="179" customWidth="1"/>
    <col min="181" max="16384" width="16.8515625" style="179" customWidth="1"/>
  </cols>
  <sheetData>
    <row r="1" spans="1:13" ht="96.75" customHeight="1">
      <c r="A1" s="305" t="s">
        <v>249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258" customFormat="1" ht="92.25" customHeight="1">
      <c r="A2" s="288" t="s">
        <v>207</v>
      </c>
      <c r="B2" s="290" t="s">
        <v>208</v>
      </c>
      <c r="C2" s="255" t="s">
        <v>201</v>
      </c>
      <c r="D2" s="255" t="s">
        <v>202</v>
      </c>
      <c r="E2" s="255" t="s">
        <v>227</v>
      </c>
      <c r="F2" s="255" t="s">
        <v>228</v>
      </c>
      <c r="G2" s="255" t="s">
        <v>229</v>
      </c>
      <c r="H2" s="255" t="s">
        <v>230</v>
      </c>
      <c r="I2" s="256" t="s">
        <v>203</v>
      </c>
      <c r="J2" s="255" t="s">
        <v>204</v>
      </c>
      <c r="K2" s="255" t="s">
        <v>234</v>
      </c>
      <c r="L2" s="213" t="s">
        <v>120</v>
      </c>
      <c r="M2" s="257" t="s">
        <v>206</v>
      </c>
    </row>
    <row r="3" spans="1:13" s="261" customFormat="1" ht="31.5" customHeight="1">
      <c r="A3" s="289"/>
      <c r="B3" s="290"/>
      <c r="C3" s="259" t="s">
        <v>238</v>
      </c>
      <c r="D3" s="259" t="s">
        <v>239</v>
      </c>
      <c r="E3" s="259" t="s">
        <v>240</v>
      </c>
      <c r="F3" s="259" t="s">
        <v>241</v>
      </c>
      <c r="G3" s="259" t="s">
        <v>242</v>
      </c>
      <c r="H3" s="259" t="s">
        <v>243</v>
      </c>
      <c r="I3" s="260" t="s">
        <v>127</v>
      </c>
      <c r="J3" s="260" t="s">
        <v>244</v>
      </c>
      <c r="K3" s="260"/>
      <c r="L3" s="259" t="s">
        <v>245</v>
      </c>
      <c r="M3" s="259" t="s">
        <v>245</v>
      </c>
    </row>
    <row r="4" spans="1:13" ht="48" customHeight="1">
      <c r="A4" s="178">
        <v>1</v>
      </c>
      <c r="B4" s="189">
        <v>2</v>
      </c>
      <c r="C4" s="189">
        <v>3</v>
      </c>
      <c r="D4" s="189">
        <v>4</v>
      </c>
      <c r="E4" s="189">
        <v>5</v>
      </c>
      <c r="F4" s="189">
        <v>6</v>
      </c>
      <c r="G4" s="189">
        <v>7</v>
      </c>
      <c r="H4" s="189">
        <v>8</v>
      </c>
      <c r="I4" s="189">
        <v>9</v>
      </c>
      <c r="J4" s="189" t="s">
        <v>231</v>
      </c>
      <c r="K4" s="189" t="s">
        <v>232</v>
      </c>
      <c r="L4" s="189" t="s">
        <v>233</v>
      </c>
      <c r="M4" s="189">
        <v>13</v>
      </c>
    </row>
    <row r="5" spans="1:15" ht="18.75" customHeight="1">
      <c r="A5" s="178">
        <v>1</v>
      </c>
      <c r="B5" s="183" t="s">
        <v>13</v>
      </c>
      <c r="C5" s="221">
        <f>'показатели с оценки'!D9</f>
        <v>7443</v>
      </c>
      <c r="D5" s="262">
        <f>'показатели с оценки'!E9</f>
        <v>7900</v>
      </c>
      <c r="E5" s="221">
        <f>'показатели с оценки'!F9</f>
        <v>2166</v>
      </c>
      <c r="F5" s="262">
        <f>'показатели с оценки'!G9</f>
        <v>2593</v>
      </c>
      <c r="G5" s="221">
        <f>C5+E5</f>
        <v>9609</v>
      </c>
      <c r="H5" s="262">
        <f>D5+F5</f>
        <v>10493</v>
      </c>
      <c r="I5" s="220">
        <v>15000</v>
      </c>
      <c r="J5" s="222">
        <f>((SUM($G$5:$G$28)+$I$5)*(H5/SUM($H$5:$H$28)))</f>
        <v>9634.41758856574</v>
      </c>
      <c r="K5" s="222">
        <f>IF((G5-J5)&lt;0,(G5-J5),0)</f>
        <v>-25.417588565740516</v>
      </c>
      <c r="L5" s="263">
        <f>K5/SUM($K$5:$K$28)*$I$5</f>
        <v>24.84571553874815</v>
      </c>
      <c r="M5" s="222">
        <v>24.8</v>
      </c>
      <c r="O5" s="264"/>
    </row>
    <row r="6" spans="1:15" ht="18.75" customHeight="1">
      <c r="A6" s="178">
        <f aca="true" t="shared" si="0" ref="A6:A28">A5+1</f>
        <v>2</v>
      </c>
      <c r="B6" s="183" t="s">
        <v>14</v>
      </c>
      <c r="C6" s="221">
        <f>'показатели с оценки'!D10</f>
        <v>9592</v>
      </c>
      <c r="D6" s="262">
        <f>'показатели с оценки'!E10</f>
        <v>9835</v>
      </c>
      <c r="E6" s="221">
        <f>'показатели с оценки'!F10</f>
        <v>3021</v>
      </c>
      <c r="F6" s="262">
        <f>'показатели с оценки'!G10</f>
        <v>3526</v>
      </c>
      <c r="G6" s="221">
        <f aca="true" t="shared" si="1" ref="G6:G28">C6+E6</f>
        <v>12613</v>
      </c>
      <c r="H6" s="262">
        <f aca="true" t="shared" si="2" ref="H6:H28">D6+F6</f>
        <v>13361</v>
      </c>
      <c r="I6" s="220"/>
      <c r="J6" s="222">
        <f aca="true" t="shared" si="3" ref="J6:J28">((SUM($G$5:$G$28)+$I$5)*(H6/SUM($H$5:$H$28)))</f>
        <v>12267.745487546637</v>
      </c>
      <c r="K6" s="222">
        <f>IF((G6-J6)&lt;0,(G6-J6),0)</f>
        <v>0</v>
      </c>
      <c r="L6" s="263">
        <f>K6/SUM($K$5:$K$28)*$I$5</f>
        <v>0</v>
      </c>
      <c r="M6" s="222">
        <v>0</v>
      </c>
      <c r="O6" s="264"/>
    </row>
    <row r="7" spans="1:15" ht="18.75" customHeight="1">
      <c r="A7" s="178">
        <f t="shared" si="0"/>
        <v>3</v>
      </c>
      <c r="B7" s="183" t="s">
        <v>15</v>
      </c>
      <c r="C7" s="221">
        <f>'показатели с оценки'!D11</f>
        <v>4056</v>
      </c>
      <c r="D7" s="262">
        <f>'показатели с оценки'!E11</f>
        <v>4496</v>
      </c>
      <c r="E7" s="221">
        <f>'показатели с оценки'!F11</f>
        <v>291</v>
      </c>
      <c r="F7" s="262">
        <f>'показатели с оценки'!G11</f>
        <v>312</v>
      </c>
      <c r="G7" s="221">
        <f t="shared" si="1"/>
        <v>4347</v>
      </c>
      <c r="H7" s="262">
        <f t="shared" si="2"/>
        <v>4808</v>
      </c>
      <c r="I7" s="220"/>
      <c r="J7" s="222">
        <f t="shared" si="3"/>
        <v>4414.58875115068</v>
      </c>
      <c r="K7" s="222">
        <f aca="true" t="shared" si="4" ref="K7:K28">IF((G7-J7)&lt;0,(G7-J7),0)</f>
        <v>-67.58875115067985</v>
      </c>
      <c r="L7" s="263">
        <f aca="true" t="shared" si="5" ref="L7:L28">K7/SUM($K$5:$K$28)*$I$5</f>
        <v>66.06806465395722</v>
      </c>
      <c r="M7" s="222">
        <v>66.1</v>
      </c>
      <c r="O7" s="264"/>
    </row>
    <row r="8" spans="1:15" ht="18.75" customHeight="1">
      <c r="A8" s="178">
        <f t="shared" si="0"/>
        <v>4</v>
      </c>
      <c r="B8" s="183" t="s">
        <v>16</v>
      </c>
      <c r="C8" s="221">
        <f>'показатели с оценки'!D12</f>
        <v>7835</v>
      </c>
      <c r="D8" s="262">
        <f>'показатели с оценки'!E12</f>
        <v>8533</v>
      </c>
      <c r="E8" s="221">
        <f>'показатели с оценки'!F12</f>
        <v>2211</v>
      </c>
      <c r="F8" s="262">
        <f>'показатели с оценки'!G12</f>
        <v>2846</v>
      </c>
      <c r="G8" s="221">
        <f t="shared" si="1"/>
        <v>10046</v>
      </c>
      <c r="H8" s="262">
        <f t="shared" si="2"/>
        <v>11379</v>
      </c>
      <c r="I8" s="220"/>
      <c r="J8" s="222">
        <f t="shared" si="3"/>
        <v>10447.921256103076</v>
      </c>
      <c r="K8" s="222">
        <f t="shared" si="4"/>
        <v>-401.9212561030763</v>
      </c>
      <c r="L8" s="263">
        <f t="shared" si="5"/>
        <v>392.87838703838287</v>
      </c>
      <c r="M8" s="222">
        <v>392.9</v>
      </c>
      <c r="O8" s="264"/>
    </row>
    <row r="9" spans="1:15" ht="18.75" customHeight="1">
      <c r="A9" s="178">
        <f t="shared" si="0"/>
        <v>5</v>
      </c>
      <c r="B9" s="183" t="s">
        <v>17</v>
      </c>
      <c r="C9" s="221">
        <f>'показатели с оценки'!D13</f>
        <v>11104</v>
      </c>
      <c r="D9" s="262">
        <f>'показатели с оценки'!E13</f>
        <v>11508</v>
      </c>
      <c r="E9" s="221">
        <f>'показатели с оценки'!F13</f>
        <v>3400</v>
      </c>
      <c r="F9" s="262">
        <f>'показатели с оценки'!G13</f>
        <v>4338</v>
      </c>
      <c r="G9" s="221">
        <f t="shared" si="1"/>
        <v>14504</v>
      </c>
      <c r="H9" s="262">
        <f t="shared" si="2"/>
        <v>15846</v>
      </c>
      <c r="I9" s="220"/>
      <c r="J9" s="222">
        <f t="shared" si="3"/>
        <v>14549.41209457855</v>
      </c>
      <c r="K9" s="222">
        <f t="shared" si="4"/>
        <v>-45.41209457855075</v>
      </c>
      <c r="L9" s="263">
        <f t="shared" si="5"/>
        <v>44.39036303538999</v>
      </c>
      <c r="M9" s="222">
        <v>44.4</v>
      </c>
      <c r="O9" s="264"/>
    </row>
    <row r="10" spans="1:15" ht="18.75" customHeight="1">
      <c r="A10" s="178">
        <f t="shared" si="0"/>
        <v>6</v>
      </c>
      <c r="B10" s="183" t="s">
        <v>18</v>
      </c>
      <c r="C10" s="221">
        <f>'показатели с оценки'!D14</f>
        <v>10004</v>
      </c>
      <c r="D10" s="262">
        <f>'показатели с оценки'!E14</f>
        <v>10842</v>
      </c>
      <c r="E10" s="221">
        <f>'показатели с оценки'!F14</f>
        <v>2011</v>
      </c>
      <c r="F10" s="262">
        <f>'показатели с оценки'!G14</f>
        <v>2613</v>
      </c>
      <c r="G10" s="221">
        <f t="shared" si="1"/>
        <v>12015</v>
      </c>
      <c r="H10" s="262">
        <f t="shared" si="2"/>
        <v>13455</v>
      </c>
      <c r="I10" s="220"/>
      <c r="J10" s="222">
        <f t="shared" si="3"/>
        <v>12354.05400306414</v>
      </c>
      <c r="K10" s="222">
        <f t="shared" si="4"/>
        <v>-339.0540030641405</v>
      </c>
      <c r="L10" s="263">
        <f t="shared" si="5"/>
        <v>331.42559100826537</v>
      </c>
      <c r="M10" s="222">
        <v>331.4</v>
      </c>
      <c r="O10" s="264"/>
    </row>
    <row r="11" spans="1:15" ht="18.75" customHeight="1">
      <c r="A11" s="178">
        <f t="shared" si="0"/>
        <v>7</v>
      </c>
      <c r="B11" s="183" t="s">
        <v>12</v>
      </c>
      <c r="C11" s="221">
        <f>'показатели с оценки'!D15</f>
        <v>7859</v>
      </c>
      <c r="D11" s="262">
        <f>'показатели с оценки'!E15</f>
        <v>8874</v>
      </c>
      <c r="E11" s="221">
        <f>'показатели с оценки'!F15</f>
        <v>2285</v>
      </c>
      <c r="F11" s="262">
        <f>'показатели с оценки'!G15</f>
        <v>2707</v>
      </c>
      <c r="G11" s="221">
        <f t="shared" si="1"/>
        <v>10144</v>
      </c>
      <c r="H11" s="262">
        <f t="shared" si="2"/>
        <v>11581</v>
      </c>
      <c r="I11" s="220"/>
      <c r="J11" s="222">
        <f t="shared" si="3"/>
        <v>10633.392746896012</v>
      </c>
      <c r="K11" s="222">
        <f t="shared" si="4"/>
        <v>-489.3927468960119</v>
      </c>
      <c r="L11" s="263">
        <f t="shared" si="5"/>
        <v>478.38184746187903</v>
      </c>
      <c r="M11" s="222">
        <v>478.4</v>
      </c>
      <c r="O11" s="264"/>
    </row>
    <row r="12" spans="1:15" ht="18.75" customHeight="1">
      <c r="A12" s="178">
        <f t="shared" si="0"/>
        <v>8</v>
      </c>
      <c r="B12" s="183" t="s">
        <v>19</v>
      </c>
      <c r="C12" s="221">
        <f>'показатели с оценки'!D16</f>
        <v>11613</v>
      </c>
      <c r="D12" s="262">
        <f>'показатели с оценки'!E16</f>
        <v>13609</v>
      </c>
      <c r="E12" s="221">
        <f>'показатели с оценки'!F16</f>
        <v>4280</v>
      </c>
      <c r="F12" s="262">
        <f>'показатели с оценки'!G16</f>
        <v>5104</v>
      </c>
      <c r="G12" s="221">
        <f t="shared" si="1"/>
        <v>15893</v>
      </c>
      <c r="H12" s="262">
        <f t="shared" si="2"/>
        <v>18713</v>
      </c>
      <c r="I12" s="220"/>
      <c r="J12" s="222">
        <f t="shared" si="3"/>
        <v>17181.821817862452</v>
      </c>
      <c r="K12" s="222">
        <f t="shared" si="4"/>
        <v>-1288.821817862452</v>
      </c>
      <c r="L12" s="263">
        <f t="shared" si="5"/>
        <v>1259.8244787825267</v>
      </c>
      <c r="M12" s="222">
        <v>1259.8</v>
      </c>
      <c r="O12" s="264"/>
    </row>
    <row r="13" spans="1:15" ht="18.75" customHeight="1">
      <c r="A13" s="178">
        <f t="shared" si="0"/>
        <v>9</v>
      </c>
      <c r="B13" s="183" t="s">
        <v>20</v>
      </c>
      <c r="C13" s="221">
        <f>'показатели с оценки'!D17</f>
        <v>10118</v>
      </c>
      <c r="D13" s="262">
        <f>'показатели с оценки'!E17</f>
        <v>11127</v>
      </c>
      <c r="E13" s="221">
        <f>'показатели с оценки'!F17</f>
        <v>3431</v>
      </c>
      <c r="F13" s="262">
        <f>'показатели с оценки'!G17</f>
        <v>3942</v>
      </c>
      <c r="G13" s="221">
        <f t="shared" si="1"/>
        <v>13549</v>
      </c>
      <c r="H13" s="262">
        <f t="shared" si="2"/>
        <v>15069</v>
      </c>
      <c r="I13" s="220"/>
      <c r="J13" s="222">
        <f t="shared" si="3"/>
        <v>13835.989578013643</v>
      </c>
      <c r="K13" s="222">
        <f t="shared" si="4"/>
        <v>-286.98957801364304</v>
      </c>
      <c r="L13" s="263">
        <f t="shared" si="5"/>
        <v>280.5325689913498</v>
      </c>
      <c r="M13" s="222">
        <v>280.5</v>
      </c>
      <c r="O13" s="264"/>
    </row>
    <row r="14" spans="1:15" ht="18.75" customHeight="1">
      <c r="A14" s="178">
        <f t="shared" si="0"/>
        <v>10</v>
      </c>
      <c r="B14" s="183" t="s">
        <v>21</v>
      </c>
      <c r="C14" s="221">
        <f>'показатели с оценки'!D18</f>
        <v>11213</v>
      </c>
      <c r="D14" s="262">
        <f>'показатели с оценки'!E18</f>
        <v>12712</v>
      </c>
      <c r="E14" s="221">
        <f>'показатели с оценки'!F18</f>
        <v>5169</v>
      </c>
      <c r="F14" s="262">
        <f>'показатели с оценки'!G18</f>
        <v>6231</v>
      </c>
      <c r="G14" s="221">
        <f t="shared" si="1"/>
        <v>16382</v>
      </c>
      <c r="H14" s="262">
        <f t="shared" si="2"/>
        <v>18943</v>
      </c>
      <c r="I14" s="220"/>
      <c r="J14" s="222">
        <f t="shared" si="3"/>
        <v>17393.00222817124</v>
      </c>
      <c r="K14" s="222">
        <f t="shared" si="4"/>
        <v>-1011.0022281712409</v>
      </c>
      <c r="L14" s="263">
        <f t="shared" si="5"/>
        <v>988.2555815715864</v>
      </c>
      <c r="M14" s="222">
        <v>988.2</v>
      </c>
      <c r="O14" s="264"/>
    </row>
    <row r="15" spans="1:15" ht="18.75" customHeight="1">
      <c r="A15" s="178">
        <f t="shared" si="0"/>
        <v>11</v>
      </c>
      <c r="B15" s="183" t="s">
        <v>22</v>
      </c>
      <c r="C15" s="221">
        <f>'показатели с оценки'!D19</f>
        <v>9583</v>
      </c>
      <c r="D15" s="262">
        <f>'показатели с оценки'!E19</f>
        <v>11019</v>
      </c>
      <c r="E15" s="221">
        <f>'показатели с оценки'!F19</f>
        <v>2786</v>
      </c>
      <c r="F15" s="262">
        <f>'показатели с оценки'!G19</f>
        <v>3295</v>
      </c>
      <c r="G15" s="221">
        <f t="shared" si="1"/>
        <v>12369</v>
      </c>
      <c r="H15" s="262">
        <f t="shared" si="2"/>
        <v>14314</v>
      </c>
      <c r="I15" s="220"/>
      <c r="J15" s="222">
        <f t="shared" si="3"/>
        <v>13142.766926782619</v>
      </c>
      <c r="K15" s="222">
        <f t="shared" si="4"/>
        <v>-773.7669267826186</v>
      </c>
      <c r="L15" s="263">
        <f t="shared" si="5"/>
        <v>756.3578624466658</v>
      </c>
      <c r="M15" s="222">
        <v>756.4</v>
      </c>
      <c r="O15" s="264"/>
    </row>
    <row r="16" spans="1:15" ht="18.75" customHeight="1">
      <c r="A16" s="178">
        <f t="shared" si="0"/>
        <v>12</v>
      </c>
      <c r="B16" s="183" t="s">
        <v>23</v>
      </c>
      <c r="C16" s="221">
        <f>'показатели с оценки'!D20</f>
        <v>8901</v>
      </c>
      <c r="D16" s="262">
        <f>'показатели с оценки'!E20</f>
        <v>10931</v>
      </c>
      <c r="E16" s="221">
        <f>'показатели с оценки'!F20</f>
        <v>3436</v>
      </c>
      <c r="F16" s="262">
        <f>'показатели с оценки'!G20</f>
        <v>4045</v>
      </c>
      <c r="G16" s="221">
        <f t="shared" si="1"/>
        <v>12337</v>
      </c>
      <c r="H16" s="262">
        <f t="shared" si="2"/>
        <v>14976</v>
      </c>
      <c r="I16" s="220"/>
      <c r="J16" s="222">
        <f t="shared" si="3"/>
        <v>13750.599238193134</v>
      </c>
      <c r="K16" s="222">
        <f t="shared" si="4"/>
        <v>-1413.5992381931337</v>
      </c>
      <c r="L16" s="263">
        <f t="shared" si="5"/>
        <v>1381.7945186695347</v>
      </c>
      <c r="M16" s="222">
        <v>1381.8</v>
      </c>
      <c r="O16" s="264"/>
    </row>
    <row r="17" spans="1:15" ht="18.75" customHeight="1">
      <c r="A17" s="178">
        <f t="shared" si="0"/>
        <v>13</v>
      </c>
      <c r="B17" s="183" t="s">
        <v>24</v>
      </c>
      <c r="C17" s="221">
        <f>'показатели с оценки'!D21</f>
        <v>5554</v>
      </c>
      <c r="D17" s="262">
        <f>'показатели с оценки'!E21</f>
        <v>6148</v>
      </c>
      <c r="E17" s="221">
        <f>'показатели с оценки'!F21</f>
        <v>1958</v>
      </c>
      <c r="F17" s="262">
        <f>'показатели с оценки'!G21</f>
        <v>2408</v>
      </c>
      <c r="G17" s="221">
        <f t="shared" si="1"/>
        <v>7512</v>
      </c>
      <c r="H17" s="262">
        <f t="shared" si="2"/>
        <v>8556</v>
      </c>
      <c r="I17" s="220"/>
      <c r="J17" s="222">
        <f t="shared" si="3"/>
        <v>7855.911263486942</v>
      </c>
      <c r="K17" s="222">
        <f t="shared" si="4"/>
        <v>-343.9112634869416</v>
      </c>
      <c r="L17" s="263">
        <f t="shared" si="5"/>
        <v>336.17356741249426</v>
      </c>
      <c r="M17" s="222">
        <v>336.2</v>
      </c>
      <c r="O17" s="264"/>
    </row>
    <row r="18" spans="1:15" ht="18.75" customHeight="1">
      <c r="A18" s="178">
        <f t="shared" si="0"/>
        <v>14</v>
      </c>
      <c r="B18" s="183" t="s">
        <v>25</v>
      </c>
      <c r="C18" s="221">
        <f>'показатели с оценки'!D22</f>
        <v>5473</v>
      </c>
      <c r="D18" s="262">
        <f>'показатели с оценки'!E22</f>
        <v>7338</v>
      </c>
      <c r="E18" s="221">
        <f>'показатели с оценки'!F22</f>
        <v>432</v>
      </c>
      <c r="F18" s="262">
        <f>'показатели с оценки'!G22</f>
        <v>496</v>
      </c>
      <c r="G18" s="221">
        <f t="shared" si="1"/>
        <v>5905</v>
      </c>
      <c r="H18" s="262">
        <f t="shared" si="2"/>
        <v>7834</v>
      </c>
      <c r="I18" s="220"/>
      <c r="J18" s="222">
        <f t="shared" si="3"/>
        <v>7192.988410256744</v>
      </c>
      <c r="K18" s="222">
        <f t="shared" si="4"/>
        <v>-1287.988410256744</v>
      </c>
      <c r="L18" s="263">
        <f t="shared" si="5"/>
        <v>1259.0098221031296</v>
      </c>
      <c r="M18" s="222">
        <v>1259</v>
      </c>
      <c r="O18" s="264"/>
    </row>
    <row r="19" spans="1:15" ht="18.75" customHeight="1">
      <c r="A19" s="178">
        <f t="shared" si="0"/>
        <v>15</v>
      </c>
      <c r="B19" s="183" t="s">
        <v>26</v>
      </c>
      <c r="C19" s="221">
        <f>'показатели с оценки'!D23</f>
        <v>11256</v>
      </c>
      <c r="D19" s="262">
        <f>'показатели с оценки'!E23</f>
        <v>13371</v>
      </c>
      <c r="E19" s="221">
        <f>'показатели с оценки'!F23</f>
        <v>3427</v>
      </c>
      <c r="F19" s="262">
        <f>'показатели с оценки'!G23</f>
        <v>3962</v>
      </c>
      <c r="G19" s="221">
        <f t="shared" si="1"/>
        <v>14683</v>
      </c>
      <c r="H19" s="262">
        <f t="shared" si="2"/>
        <v>17333</v>
      </c>
      <c r="I19" s="220"/>
      <c r="J19" s="222">
        <f t="shared" si="3"/>
        <v>15914.739356009719</v>
      </c>
      <c r="K19" s="222">
        <f t="shared" si="4"/>
        <v>-1231.739356009719</v>
      </c>
      <c r="L19" s="263">
        <f t="shared" si="5"/>
        <v>1204.026321306799</v>
      </c>
      <c r="M19" s="222">
        <v>1204</v>
      </c>
      <c r="O19" s="264"/>
    </row>
    <row r="20" spans="1:15" ht="18.75" customHeight="1">
      <c r="A20" s="178">
        <f t="shared" si="0"/>
        <v>16</v>
      </c>
      <c r="B20" s="183" t="s">
        <v>27</v>
      </c>
      <c r="C20" s="221">
        <f>'показатели с оценки'!D24</f>
        <v>8938</v>
      </c>
      <c r="D20" s="262">
        <f>'показатели с оценки'!E24</f>
        <v>9707</v>
      </c>
      <c r="E20" s="221">
        <f>'показатели с оценки'!F24</f>
        <v>3272</v>
      </c>
      <c r="F20" s="262">
        <f>'показатели с оценки'!G24</f>
        <v>3884</v>
      </c>
      <c r="G20" s="221">
        <f t="shared" si="1"/>
        <v>12210</v>
      </c>
      <c r="H20" s="262">
        <f t="shared" si="2"/>
        <v>13591</v>
      </c>
      <c r="I20" s="220"/>
      <c r="J20" s="222">
        <f t="shared" si="3"/>
        <v>12478.925897855426</v>
      </c>
      <c r="K20" s="222">
        <f t="shared" si="4"/>
        <v>-268.92589785542623</v>
      </c>
      <c r="L20" s="263">
        <f t="shared" si="5"/>
        <v>262.875305493155</v>
      </c>
      <c r="M20" s="222">
        <v>262.9</v>
      </c>
      <c r="O20" s="264"/>
    </row>
    <row r="21" spans="1:15" ht="18.75" customHeight="1">
      <c r="A21" s="178">
        <f t="shared" si="0"/>
        <v>17</v>
      </c>
      <c r="B21" s="183" t="s">
        <v>28</v>
      </c>
      <c r="C21" s="221">
        <f>'показатели с оценки'!D25</f>
        <v>5847</v>
      </c>
      <c r="D21" s="262">
        <f>'показатели с оценки'!E25</f>
        <v>7548</v>
      </c>
      <c r="E21" s="221">
        <f>'показатели с оценки'!F25</f>
        <v>2124</v>
      </c>
      <c r="F21" s="262">
        <f>'показатели с оценки'!G25</f>
        <v>2592</v>
      </c>
      <c r="G21" s="221">
        <f t="shared" si="1"/>
        <v>7971</v>
      </c>
      <c r="H21" s="262">
        <f t="shared" si="2"/>
        <v>10140</v>
      </c>
      <c r="I21" s="220"/>
      <c r="J21" s="222">
        <f t="shared" si="3"/>
        <v>9310.3015675266</v>
      </c>
      <c r="K21" s="222">
        <f t="shared" si="4"/>
        <v>-1339.3015675265997</v>
      </c>
      <c r="L21" s="263">
        <f t="shared" si="5"/>
        <v>1309.1684791930586</v>
      </c>
      <c r="M21" s="222">
        <v>1309.2</v>
      </c>
      <c r="O21" s="264"/>
    </row>
    <row r="22" spans="1:15" ht="18.75" customHeight="1">
      <c r="A22" s="178">
        <f t="shared" si="0"/>
        <v>18</v>
      </c>
      <c r="B22" s="183" t="s">
        <v>29</v>
      </c>
      <c r="C22" s="221">
        <f>'показатели с оценки'!D26</f>
        <v>5151</v>
      </c>
      <c r="D22" s="262">
        <f>'показатели с оценки'!E26</f>
        <v>5672</v>
      </c>
      <c r="E22" s="221">
        <f>'показатели с оценки'!F26</f>
        <v>1824</v>
      </c>
      <c r="F22" s="262">
        <f>'показатели с оценки'!G26</f>
        <v>2250</v>
      </c>
      <c r="G22" s="221">
        <f t="shared" si="1"/>
        <v>6975</v>
      </c>
      <c r="H22" s="262">
        <f t="shared" si="2"/>
        <v>7922</v>
      </c>
      <c r="I22" s="220"/>
      <c r="J22" s="222">
        <f t="shared" si="3"/>
        <v>7273.787871592281</v>
      </c>
      <c r="K22" s="222">
        <f t="shared" si="4"/>
        <v>-298.7878715922807</v>
      </c>
      <c r="L22" s="263">
        <f t="shared" si="5"/>
        <v>292.0654115086206</v>
      </c>
      <c r="M22" s="222">
        <v>292.1</v>
      </c>
      <c r="O22" s="264"/>
    </row>
    <row r="23" spans="1:15" ht="18.75" customHeight="1">
      <c r="A23" s="178">
        <f t="shared" si="0"/>
        <v>19</v>
      </c>
      <c r="B23" s="183" t="s">
        <v>30</v>
      </c>
      <c r="C23" s="221">
        <f>'показатели с оценки'!D27</f>
        <v>8961</v>
      </c>
      <c r="D23" s="262">
        <f>'показатели с оценки'!E27</f>
        <v>10629</v>
      </c>
      <c r="E23" s="221">
        <f>'показатели с оценки'!F27</f>
        <v>2134</v>
      </c>
      <c r="F23" s="262">
        <f>'показатели с оценки'!G27</f>
        <v>2437</v>
      </c>
      <c r="G23" s="221">
        <f t="shared" si="1"/>
        <v>11095</v>
      </c>
      <c r="H23" s="262">
        <f t="shared" si="2"/>
        <v>13066</v>
      </c>
      <c r="I23" s="220"/>
      <c r="J23" s="222">
        <f t="shared" si="3"/>
        <v>11996.88365693319</v>
      </c>
      <c r="K23" s="222">
        <f t="shared" si="4"/>
        <v>-901.8836569331907</v>
      </c>
      <c r="L23" s="263">
        <f t="shared" si="5"/>
        <v>881.5920806669626</v>
      </c>
      <c r="M23" s="222">
        <v>881.6</v>
      </c>
      <c r="O23" s="264"/>
    </row>
    <row r="24" spans="1:15" ht="18.75" customHeight="1">
      <c r="A24" s="178">
        <f t="shared" si="0"/>
        <v>20</v>
      </c>
      <c r="B24" s="183" t="s">
        <v>31</v>
      </c>
      <c r="C24" s="221">
        <f>'показатели с оценки'!D28</f>
        <v>13237</v>
      </c>
      <c r="D24" s="262">
        <f>'показатели с оценки'!E28</f>
        <v>14783</v>
      </c>
      <c r="E24" s="221">
        <f>'показатели с оценки'!F28</f>
        <v>4981</v>
      </c>
      <c r="F24" s="262">
        <f>'показатели с оценки'!G28</f>
        <v>5379</v>
      </c>
      <c r="G24" s="221">
        <f t="shared" si="1"/>
        <v>18218</v>
      </c>
      <c r="H24" s="262">
        <f t="shared" si="2"/>
        <v>20162</v>
      </c>
      <c r="I24" s="220"/>
      <c r="J24" s="222">
        <f t="shared" si="3"/>
        <v>18512.25840280782</v>
      </c>
      <c r="K24" s="222">
        <f t="shared" si="4"/>
        <v>-294.25840280781995</v>
      </c>
      <c r="L24" s="263">
        <f t="shared" si="5"/>
        <v>287.6378517238173</v>
      </c>
      <c r="M24" s="222">
        <v>287.6</v>
      </c>
      <c r="O24" s="264"/>
    </row>
    <row r="25" spans="1:15" ht="18.75" customHeight="1">
      <c r="A25" s="178">
        <f t="shared" si="0"/>
        <v>21</v>
      </c>
      <c r="B25" s="183" t="s">
        <v>32</v>
      </c>
      <c r="C25" s="221">
        <f>'показатели с оценки'!D29</f>
        <v>6151</v>
      </c>
      <c r="D25" s="262">
        <f>'показатели с оценки'!E29</f>
        <v>7376</v>
      </c>
      <c r="E25" s="221">
        <f>'показатели с оценки'!F29</f>
        <v>1710</v>
      </c>
      <c r="F25" s="262">
        <f>'показатели с оценки'!G29</f>
        <v>2023</v>
      </c>
      <c r="G25" s="221">
        <f t="shared" si="1"/>
        <v>7861</v>
      </c>
      <c r="H25" s="262">
        <f t="shared" si="2"/>
        <v>9399</v>
      </c>
      <c r="I25" s="220"/>
      <c r="J25" s="222">
        <f t="shared" si="3"/>
        <v>8629.933376053503</v>
      </c>
      <c r="K25" s="222">
        <f t="shared" si="4"/>
        <v>-768.9333760535028</v>
      </c>
      <c r="L25" s="263">
        <f t="shared" si="5"/>
        <v>751.6330622892035</v>
      </c>
      <c r="M25" s="222">
        <v>751.6</v>
      </c>
      <c r="O25" s="264"/>
    </row>
    <row r="26" spans="1:15" ht="18.75" customHeight="1">
      <c r="A26" s="178">
        <f t="shared" si="0"/>
        <v>22</v>
      </c>
      <c r="B26" s="183" t="s">
        <v>33</v>
      </c>
      <c r="C26" s="221">
        <f>'показатели с оценки'!D30</f>
        <v>6546</v>
      </c>
      <c r="D26" s="262">
        <f>'показатели с оценки'!E30</f>
        <v>7883</v>
      </c>
      <c r="E26" s="221">
        <f>'показатели с оценки'!F30</f>
        <v>1621</v>
      </c>
      <c r="F26" s="262">
        <f>'показатели с оценки'!G30</f>
        <v>2215</v>
      </c>
      <c r="G26" s="221">
        <f t="shared" si="1"/>
        <v>8167</v>
      </c>
      <c r="H26" s="262">
        <f t="shared" si="2"/>
        <v>10098</v>
      </c>
      <c r="I26" s="220"/>
      <c r="J26" s="222">
        <f t="shared" si="3"/>
        <v>9271.73818825282</v>
      </c>
      <c r="K26" s="222">
        <f t="shared" si="4"/>
        <v>-1104.7381882528207</v>
      </c>
      <c r="L26" s="263">
        <f t="shared" si="5"/>
        <v>1079.882566323298</v>
      </c>
      <c r="M26" s="222">
        <v>1079.9</v>
      </c>
      <c r="O26" s="264"/>
    </row>
    <row r="27" spans="1:15" ht="18.75" customHeight="1">
      <c r="A27" s="178">
        <f t="shared" si="0"/>
        <v>23</v>
      </c>
      <c r="B27" s="183" t="s">
        <v>34</v>
      </c>
      <c r="C27" s="221">
        <f>'показатели с оценки'!D31</f>
        <v>3711</v>
      </c>
      <c r="D27" s="262">
        <f>'показатели с оценки'!E31</f>
        <v>4130</v>
      </c>
      <c r="E27" s="221">
        <f>'показатели с оценки'!F31</f>
        <v>651</v>
      </c>
      <c r="F27" s="262">
        <f>'показатели с оценки'!G31</f>
        <v>735</v>
      </c>
      <c r="G27" s="221">
        <f t="shared" si="1"/>
        <v>4362</v>
      </c>
      <c r="H27" s="262">
        <f t="shared" si="2"/>
        <v>4865</v>
      </c>
      <c r="I27" s="220"/>
      <c r="J27" s="222">
        <f t="shared" si="3"/>
        <v>4466.924765879379</v>
      </c>
      <c r="K27" s="222">
        <f t="shared" si="4"/>
        <v>-104.92476587937927</v>
      </c>
      <c r="L27" s="263">
        <f t="shared" si="5"/>
        <v>102.56405241851292</v>
      </c>
      <c r="M27" s="222">
        <v>102.6</v>
      </c>
      <c r="O27" s="264"/>
    </row>
    <row r="28" spans="1:15" ht="18.75" customHeight="1">
      <c r="A28" s="178">
        <f t="shared" si="0"/>
        <v>24</v>
      </c>
      <c r="B28" s="183" t="s">
        <v>35</v>
      </c>
      <c r="C28" s="221">
        <f>'показатели с оценки'!D32</f>
        <v>13708</v>
      </c>
      <c r="D28" s="262">
        <f>'показатели с оценки'!E32</f>
        <v>15119</v>
      </c>
      <c r="E28" s="221">
        <f>'показатели с оценки'!F32</f>
        <v>4797</v>
      </c>
      <c r="F28" s="262">
        <f>'показатели с оценки'!G32</f>
        <v>6404</v>
      </c>
      <c r="G28" s="221">
        <f t="shared" si="1"/>
        <v>18505</v>
      </c>
      <c r="H28" s="262">
        <f t="shared" si="2"/>
        <v>21523</v>
      </c>
      <c r="I28" s="220"/>
      <c r="J28" s="222">
        <f t="shared" si="3"/>
        <v>19761.895526417655</v>
      </c>
      <c r="K28" s="222">
        <f t="shared" si="4"/>
        <v>-1256.8955264176548</v>
      </c>
      <c r="L28" s="263">
        <f t="shared" si="5"/>
        <v>1228.6165003626634</v>
      </c>
      <c r="M28" s="222">
        <v>1228.6</v>
      </c>
      <c r="O28" s="264"/>
    </row>
    <row r="29" spans="1:15" s="181" customFormat="1" ht="18.75" customHeight="1">
      <c r="A29" s="180"/>
      <c r="B29" s="184"/>
      <c r="C29" s="198">
        <f aca="true" t="shared" si="6" ref="C29:L29">SUM(C5:C28)</f>
        <v>203854</v>
      </c>
      <c r="D29" s="198">
        <f t="shared" si="6"/>
        <v>231090</v>
      </c>
      <c r="E29" s="198">
        <f>SUM(E5:E28)</f>
        <v>63418</v>
      </c>
      <c r="F29" s="198">
        <f>SUM(F5:F28)</f>
        <v>76337</v>
      </c>
      <c r="G29" s="198">
        <f>SUM(G5:G28)</f>
        <v>267272</v>
      </c>
      <c r="H29" s="198">
        <f>SUM(H5:H28)</f>
        <v>307427</v>
      </c>
      <c r="I29" s="209">
        <f t="shared" si="6"/>
        <v>15000</v>
      </c>
      <c r="J29" s="198">
        <f t="shared" si="6"/>
        <v>282272</v>
      </c>
      <c r="K29" s="198">
        <f t="shared" si="6"/>
        <v>-15345.254512453366</v>
      </c>
      <c r="L29" s="198">
        <f t="shared" si="6"/>
        <v>14999.999999999998</v>
      </c>
      <c r="M29" s="198">
        <f>SUM(M5:M28)</f>
        <v>15000.000000000002</v>
      </c>
      <c r="O29" s="264"/>
    </row>
    <row r="30" spans="3:13" ht="15.75">
      <c r="C30" s="193"/>
      <c r="D30" s="193"/>
      <c r="E30" s="193"/>
      <c r="F30" s="193"/>
      <c r="G30" s="193"/>
      <c r="H30" s="193"/>
      <c r="I30" s="193"/>
      <c r="J30" s="265"/>
      <c r="K30" s="193"/>
      <c r="L30" s="193"/>
      <c r="M30" s="193"/>
    </row>
    <row r="31" spans="4:11" ht="15.75">
      <c r="D31" s="200"/>
      <c r="G31" s="200"/>
      <c r="H31" s="200"/>
      <c r="J31" s="200"/>
      <c r="K31" s="264"/>
    </row>
    <row r="32" ht="15.75">
      <c r="B32" s="192"/>
    </row>
    <row r="33" spans="2:8" ht="15.75">
      <c r="B33" s="192"/>
      <c r="H33" s="200"/>
    </row>
  </sheetData>
  <sheetProtection/>
  <mergeCells count="3">
    <mergeCell ref="A1:M1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7" r:id="rId1"/>
  <colBreaks count="1" manualBreakCount="1">
    <brk id="13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93" zoomScaleNormal="93" zoomScalePageLayoutView="0" workbookViewId="0" topLeftCell="A7">
      <selection activeCell="E9" sqref="E9:E33"/>
    </sheetView>
  </sheetViews>
  <sheetFormatPr defaultColWidth="9.140625" defaultRowHeight="12.75"/>
  <cols>
    <col min="2" max="2" width="21.7109375" style="0" customWidth="1"/>
    <col min="3" max="3" width="47.28125" style="0" customWidth="1"/>
    <col min="4" max="7" width="15.7109375" style="0" customWidth="1"/>
    <col min="8" max="8" width="13.57421875" style="0" customWidth="1"/>
  </cols>
  <sheetData>
    <row r="1" spans="1:4" ht="15">
      <c r="A1" s="311" t="s">
        <v>246</v>
      </c>
      <c r="B1" s="312"/>
      <c r="C1" s="312"/>
      <c r="D1" s="245"/>
    </row>
    <row r="2" spans="1:5" ht="15">
      <c r="A2" s="311" t="s">
        <v>169</v>
      </c>
      <c r="B2" s="312"/>
      <c r="C2" s="312"/>
      <c r="D2" s="245"/>
      <c r="E2" s="232">
        <v>44851.59722222222</v>
      </c>
    </row>
    <row r="3" spans="1:4" ht="15">
      <c r="A3" s="311" t="s">
        <v>170</v>
      </c>
      <c r="B3" s="312"/>
      <c r="C3" s="312"/>
      <c r="D3" s="245"/>
    </row>
    <row r="4" spans="1:4" ht="15">
      <c r="A4" s="311" t="s">
        <v>171</v>
      </c>
      <c r="B4" s="312"/>
      <c r="C4" s="312"/>
      <c r="D4" s="245"/>
    </row>
    <row r="5" spans="1:4" ht="15">
      <c r="A5" s="311" t="s">
        <v>172</v>
      </c>
      <c r="B5" s="312"/>
      <c r="C5" s="312"/>
      <c r="D5" s="245"/>
    </row>
    <row r="6" spans="1:4" ht="15">
      <c r="A6" s="311" t="s">
        <v>247</v>
      </c>
      <c r="B6" s="312"/>
      <c r="C6" s="312"/>
      <c r="D6" s="245"/>
    </row>
    <row r="7" spans="4:7" ht="31.5" customHeight="1">
      <c r="D7" s="309" t="s">
        <v>205</v>
      </c>
      <c r="E7" s="310"/>
      <c r="F7" s="307" t="s">
        <v>226</v>
      </c>
      <c r="G7" s="308"/>
    </row>
    <row r="8" spans="1:7" ht="45">
      <c r="A8" s="245"/>
      <c r="B8" s="246" t="s">
        <v>173</v>
      </c>
      <c r="C8" s="246" t="s">
        <v>174</v>
      </c>
      <c r="D8" s="246" t="s">
        <v>248</v>
      </c>
      <c r="E8" s="243" t="s">
        <v>235</v>
      </c>
      <c r="F8" s="243" t="s">
        <v>236</v>
      </c>
      <c r="G8" s="243" t="s">
        <v>237</v>
      </c>
    </row>
    <row r="9" spans="1:7" ht="19.5" customHeight="1">
      <c r="A9" s="245"/>
      <c r="B9" s="247" t="s">
        <v>175</v>
      </c>
      <c r="C9" s="247" t="s">
        <v>176</v>
      </c>
      <c r="D9" s="248">
        <v>7443</v>
      </c>
      <c r="E9" s="266">
        <v>7900</v>
      </c>
      <c r="F9" s="251">
        <v>2166</v>
      </c>
      <c r="G9" s="253">
        <v>2593</v>
      </c>
    </row>
    <row r="10" spans="1:7" ht="19.5" customHeight="1">
      <c r="A10" s="245"/>
      <c r="B10" s="247" t="s">
        <v>175</v>
      </c>
      <c r="C10" s="247" t="s">
        <v>177</v>
      </c>
      <c r="D10" s="248">
        <v>9592</v>
      </c>
      <c r="E10" s="266">
        <v>9835</v>
      </c>
      <c r="F10" s="251">
        <v>3021</v>
      </c>
      <c r="G10" s="253">
        <v>3526</v>
      </c>
    </row>
    <row r="11" spans="1:7" ht="19.5" customHeight="1">
      <c r="A11" s="245"/>
      <c r="B11" s="247" t="s">
        <v>175</v>
      </c>
      <c r="C11" s="247" t="s">
        <v>178</v>
      </c>
      <c r="D11" s="248">
        <v>4056</v>
      </c>
      <c r="E11" s="266">
        <v>4496</v>
      </c>
      <c r="F11" s="251">
        <v>291</v>
      </c>
      <c r="G11" s="253">
        <v>312</v>
      </c>
    </row>
    <row r="12" spans="1:7" ht="19.5" customHeight="1">
      <c r="A12" s="245"/>
      <c r="B12" s="247" t="s">
        <v>175</v>
      </c>
      <c r="C12" s="247" t="s">
        <v>179</v>
      </c>
      <c r="D12" s="248">
        <v>7835</v>
      </c>
      <c r="E12" s="266">
        <v>8533</v>
      </c>
      <c r="F12" s="251">
        <v>2211</v>
      </c>
      <c r="G12" s="253">
        <v>2846</v>
      </c>
    </row>
    <row r="13" spans="1:7" ht="19.5" customHeight="1">
      <c r="A13" s="245"/>
      <c r="B13" s="247" t="s">
        <v>175</v>
      </c>
      <c r="C13" s="247" t="s">
        <v>180</v>
      </c>
      <c r="D13" s="248">
        <v>11104</v>
      </c>
      <c r="E13" s="266">
        <v>11508</v>
      </c>
      <c r="F13" s="251">
        <v>3400</v>
      </c>
      <c r="G13" s="253">
        <v>4338</v>
      </c>
    </row>
    <row r="14" spans="1:7" ht="19.5" customHeight="1">
      <c r="A14" s="245"/>
      <c r="B14" s="247" t="s">
        <v>175</v>
      </c>
      <c r="C14" s="247" t="s">
        <v>181</v>
      </c>
      <c r="D14" s="248">
        <v>10004</v>
      </c>
      <c r="E14" s="266">
        <v>10842</v>
      </c>
      <c r="F14" s="251">
        <v>2011</v>
      </c>
      <c r="G14" s="253">
        <v>2613</v>
      </c>
    </row>
    <row r="15" spans="1:7" ht="19.5" customHeight="1">
      <c r="A15" s="245"/>
      <c r="B15" s="247" t="s">
        <v>175</v>
      </c>
      <c r="C15" s="247" t="s">
        <v>182</v>
      </c>
      <c r="D15" s="248">
        <v>7859</v>
      </c>
      <c r="E15" s="266">
        <v>8874</v>
      </c>
      <c r="F15" s="251">
        <v>2285</v>
      </c>
      <c r="G15" s="253">
        <v>2707</v>
      </c>
    </row>
    <row r="16" spans="1:7" ht="19.5" customHeight="1">
      <c r="A16" s="245"/>
      <c r="B16" s="247" t="s">
        <v>175</v>
      </c>
      <c r="C16" s="247" t="s">
        <v>183</v>
      </c>
      <c r="D16" s="248">
        <v>11613</v>
      </c>
      <c r="E16" s="266">
        <v>13609</v>
      </c>
      <c r="F16" s="251">
        <v>4280</v>
      </c>
      <c r="G16" s="253">
        <v>5104</v>
      </c>
    </row>
    <row r="17" spans="2:7" ht="19.5" customHeight="1">
      <c r="B17" s="247" t="s">
        <v>175</v>
      </c>
      <c r="C17" s="247" t="s">
        <v>184</v>
      </c>
      <c r="D17" s="248">
        <v>10118</v>
      </c>
      <c r="E17" s="266">
        <v>11127</v>
      </c>
      <c r="F17" s="251">
        <v>3431</v>
      </c>
      <c r="G17" s="253">
        <v>3942</v>
      </c>
    </row>
    <row r="18" spans="2:7" ht="19.5" customHeight="1">
      <c r="B18" s="247" t="s">
        <v>175</v>
      </c>
      <c r="C18" s="247" t="s">
        <v>185</v>
      </c>
      <c r="D18" s="248">
        <v>11213</v>
      </c>
      <c r="E18" s="266">
        <v>12712</v>
      </c>
      <c r="F18" s="251">
        <v>5169</v>
      </c>
      <c r="G18" s="253">
        <v>6231</v>
      </c>
    </row>
    <row r="19" spans="2:7" ht="19.5" customHeight="1">
      <c r="B19" s="247" t="s">
        <v>175</v>
      </c>
      <c r="C19" s="247" t="s">
        <v>186</v>
      </c>
      <c r="D19" s="248">
        <v>9583</v>
      </c>
      <c r="E19" s="266">
        <v>11019</v>
      </c>
      <c r="F19" s="251">
        <v>2786</v>
      </c>
      <c r="G19" s="253">
        <v>3295</v>
      </c>
    </row>
    <row r="20" spans="2:7" ht="19.5" customHeight="1">
      <c r="B20" s="247" t="s">
        <v>175</v>
      </c>
      <c r="C20" s="247" t="s">
        <v>187</v>
      </c>
      <c r="D20" s="248">
        <v>8901</v>
      </c>
      <c r="E20" s="266">
        <v>10931</v>
      </c>
      <c r="F20" s="251">
        <v>3436</v>
      </c>
      <c r="G20" s="253">
        <v>4045</v>
      </c>
    </row>
    <row r="21" spans="2:7" ht="19.5" customHeight="1">
      <c r="B21" s="247" t="s">
        <v>175</v>
      </c>
      <c r="C21" s="247" t="s">
        <v>188</v>
      </c>
      <c r="D21" s="248">
        <v>5554</v>
      </c>
      <c r="E21" s="266">
        <v>6148</v>
      </c>
      <c r="F21" s="251">
        <v>1958</v>
      </c>
      <c r="G21" s="253">
        <v>2408</v>
      </c>
    </row>
    <row r="22" spans="2:7" ht="19.5" customHeight="1">
      <c r="B22" s="247" t="s">
        <v>175</v>
      </c>
      <c r="C22" s="247" t="s">
        <v>189</v>
      </c>
      <c r="D22" s="248">
        <v>5473</v>
      </c>
      <c r="E22" s="266">
        <v>7338</v>
      </c>
      <c r="F22" s="251">
        <v>432</v>
      </c>
      <c r="G22" s="253">
        <v>496</v>
      </c>
    </row>
    <row r="23" spans="2:7" ht="19.5" customHeight="1">
      <c r="B23" s="247" t="s">
        <v>175</v>
      </c>
      <c r="C23" s="247" t="s">
        <v>190</v>
      </c>
      <c r="D23" s="248">
        <v>11256</v>
      </c>
      <c r="E23" s="266">
        <v>13371</v>
      </c>
      <c r="F23" s="251">
        <v>3427</v>
      </c>
      <c r="G23" s="253">
        <v>3962</v>
      </c>
    </row>
    <row r="24" spans="2:7" ht="19.5" customHeight="1">
      <c r="B24" s="247" t="s">
        <v>175</v>
      </c>
      <c r="C24" s="247" t="s">
        <v>191</v>
      </c>
      <c r="D24" s="248">
        <v>8938</v>
      </c>
      <c r="E24" s="266">
        <v>9707</v>
      </c>
      <c r="F24" s="251">
        <v>3272</v>
      </c>
      <c r="G24" s="253">
        <v>3884</v>
      </c>
    </row>
    <row r="25" spans="2:7" ht="19.5" customHeight="1">
      <c r="B25" s="247" t="s">
        <v>175</v>
      </c>
      <c r="C25" s="247" t="s">
        <v>192</v>
      </c>
      <c r="D25" s="248">
        <v>5847</v>
      </c>
      <c r="E25" s="266">
        <v>7548</v>
      </c>
      <c r="F25" s="251">
        <v>2124</v>
      </c>
      <c r="G25" s="253">
        <v>2592</v>
      </c>
    </row>
    <row r="26" spans="2:7" ht="19.5" customHeight="1">
      <c r="B26" s="247" t="s">
        <v>175</v>
      </c>
      <c r="C26" s="247" t="s">
        <v>193</v>
      </c>
      <c r="D26" s="248">
        <v>5151</v>
      </c>
      <c r="E26" s="266">
        <v>5672</v>
      </c>
      <c r="F26" s="251">
        <v>1824</v>
      </c>
      <c r="G26" s="253">
        <v>2250</v>
      </c>
    </row>
    <row r="27" spans="2:7" ht="19.5" customHeight="1">
      <c r="B27" s="247" t="s">
        <v>175</v>
      </c>
      <c r="C27" s="247" t="s">
        <v>194</v>
      </c>
      <c r="D27" s="248">
        <v>8961</v>
      </c>
      <c r="E27" s="266">
        <v>10629</v>
      </c>
      <c r="F27" s="251">
        <v>2134</v>
      </c>
      <c r="G27" s="253">
        <v>2437</v>
      </c>
    </row>
    <row r="28" spans="2:7" ht="19.5" customHeight="1">
      <c r="B28" s="247" t="s">
        <v>175</v>
      </c>
      <c r="C28" s="247" t="s">
        <v>195</v>
      </c>
      <c r="D28" s="248">
        <v>13237</v>
      </c>
      <c r="E28" s="266">
        <v>14783</v>
      </c>
      <c r="F28" s="251">
        <v>4981</v>
      </c>
      <c r="G28" s="253">
        <v>5379</v>
      </c>
    </row>
    <row r="29" spans="2:7" ht="19.5" customHeight="1">
      <c r="B29" s="247" t="s">
        <v>175</v>
      </c>
      <c r="C29" s="247" t="s">
        <v>196</v>
      </c>
      <c r="D29" s="248">
        <v>6151</v>
      </c>
      <c r="E29" s="266">
        <v>7376</v>
      </c>
      <c r="F29" s="251">
        <v>1710</v>
      </c>
      <c r="G29" s="253">
        <v>2023</v>
      </c>
    </row>
    <row r="30" spans="2:7" ht="19.5" customHeight="1">
      <c r="B30" s="247" t="s">
        <v>175</v>
      </c>
      <c r="C30" s="247" t="s">
        <v>197</v>
      </c>
      <c r="D30" s="248">
        <v>6546</v>
      </c>
      <c r="E30" s="266">
        <v>7883</v>
      </c>
      <c r="F30" s="251">
        <v>1621</v>
      </c>
      <c r="G30" s="253">
        <v>2215</v>
      </c>
    </row>
    <row r="31" spans="2:7" ht="19.5" customHeight="1">
      <c r="B31" s="247" t="s">
        <v>175</v>
      </c>
      <c r="C31" s="247" t="s">
        <v>198</v>
      </c>
      <c r="D31" s="248">
        <v>3711</v>
      </c>
      <c r="E31" s="266">
        <v>4130</v>
      </c>
      <c r="F31" s="251">
        <v>651</v>
      </c>
      <c r="G31" s="253">
        <v>735</v>
      </c>
    </row>
    <row r="32" spans="2:7" ht="19.5" customHeight="1">
      <c r="B32" s="247" t="s">
        <v>175</v>
      </c>
      <c r="C32" s="247" t="s">
        <v>199</v>
      </c>
      <c r="D32" s="248">
        <v>13708</v>
      </c>
      <c r="E32" s="266">
        <v>15119</v>
      </c>
      <c r="F32" s="251">
        <v>4797</v>
      </c>
      <c r="G32" s="253">
        <v>6404</v>
      </c>
    </row>
    <row r="33" spans="2:8" ht="15">
      <c r="B33" s="249" t="s">
        <v>200</v>
      </c>
      <c r="C33" s="249" t="s">
        <v>173</v>
      </c>
      <c r="D33" s="250">
        <v>203854</v>
      </c>
      <c r="E33" s="267">
        <v>231090</v>
      </c>
      <c r="F33" s="252">
        <v>63418</v>
      </c>
      <c r="G33" s="254">
        <v>76337</v>
      </c>
      <c r="H33" s="244"/>
    </row>
  </sheetData>
  <sheetProtection/>
  <mergeCells count="8">
    <mergeCell ref="F7:G7"/>
    <mergeCell ref="D7:E7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3" sqref="C3:C18"/>
    </sheetView>
  </sheetViews>
  <sheetFormatPr defaultColWidth="9.140625" defaultRowHeight="12.75"/>
  <cols>
    <col min="1" max="1" width="11.140625" style="0" customWidth="1"/>
    <col min="2" max="2" width="57.421875" style="0" customWidth="1"/>
    <col min="3" max="3" width="18.00390625" style="0" customWidth="1"/>
  </cols>
  <sheetData>
    <row r="2" spans="1:3" ht="19.5" customHeight="1">
      <c r="A2" s="233" t="s">
        <v>56</v>
      </c>
      <c r="B2" s="234" t="s">
        <v>209</v>
      </c>
      <c r="C2" s="235" t="s">
        <v>210</v>
      </c>
    </row>
    <row r="3" spans="1:3" ht="19.5" customHeight="1">
      <c r="A3" s="236">
        <v>1</v>
      </c>
      <c r="B3" s="237" t="s">
        <v>222</v>
      </c>
      <c r="C3" s="238">
        <v>83.4</v>
      </c>
    </row>
    <row r="4" spans="1:3" ht="19.5" customHeight="1">
      <c r="A4" s="236">
        <f>A3+1</f>
        <v>2</v>
      </c>
      <c r="B4" s="237" t="s">
        <v>223</v>
      </c>
      <c r="C4" s="238">
        <v>398.3</v>
      </c>
    </row>
    <row r="5" spans="1:3" ht="19.5" customHeight="1">
      <c r="A5" s="236">
        <f aca="true" t="shared" si="0" ref="A5:A17">A4+1</f>
        <v>3</v>
      </c>
      <c r="B5" s="239" t="s">
        <v>211</v>
      </c>
      <c r="C5" s="238">
        <v>622.9</v>
      </c>
    </row>
    <row r="6" spans="1:3" ht="19.5" customHeight="1">
      <c r="A6" s="236">
        <f t="shared" si="0"/>
        <v>4</v>
      </c>
      <c r="B6" s="239" t="s">
        <v>224</v>
      </c>
      <c r="C6" s="238">
        <v>678.3</v>
      </c>
    </row>
    <row r="7" spans="1:3" ht="19.5" customHeight="1">
      <c r="A7" s="236">
        <f t="shared" si="0"/>
        <v>5</v>
      </c>
      <c r="B7" s="239" t="s">
        <v>212</v>
      </c>
      <c r="C7" s="238">
        <v>109.9</v>
      </c>
    </row>
    <row r="8" spans="1:3" ht="19.5" customHeight="1">
      <c r="A8" s="236">
        <f t="shared" si="0"/>
        <v>6</v>
      </c>
      <c r="B8" s="239" t="s">
        <v>213</v>
      </c>
      <c r="C8" s="238">
        <v>1640.4</v>
      </c>
    </row>
    <row r="9" spans="1:3" ht="19.5" customHeight="1">
      <c r="A9" s="236">
        <f t="shared" si="0"/>
        <v>7</v>
      </c>
      <c r="B9" s="239" t="s">
        <v>214</v>
      </c>
      <c r="C9" s="238">
        <v>674.5</v>
      </c>
    </row>
    <row r="10" spans="1:3" ht="19.5" customHeight="1">
      <c r="A10" s="236">
        <f t="shared" si="0"/>
        <v>8</v>
      </c>
      <c r="B10" s="239" t="s">
        <v>215</v>
      </c>
      <c r="C10" s="238">
        <v>131.1</v>
      </c>
    </row>
    <row r="11" spans="1:3" ht="19.5" customHeight="1">
      <c r="A11" s="236">
        <f t="shared" si="0"/>
        <v>9</v>
      </c>
      <c r="B11" s="239" t="s">
        <v>216</v>
      </c>
      <c r="C11" s="238">
        <v>497.4</v>
      </c>
    </row>
    <row r="12" spans="1:3" ht="19.5" customHeight="1">
      <c r="A12" s="236">
        <f t="shared" si="0"/>
        <v>10</v>
      </c>
      <c r="B12" s="239" t="s">
        <v>217</v>
      </c>
      <c r="C12" s="238">
        <v>265.6</v>
      </c>
    </row>
    <row r="13" spans="1:3" ht="19.5" customHeight="1">
      <c r="A13" s="236">
        <f t="shared" si="0"/>
        <v>11</v>
      </c>
      <c r="B13" s="239" t="s">
        <v>218</v>
      </c>
      <c r="C13" s="238">
        <v>244.6</v>
      </c>
    </row>
    <row r="14" spans="1:3" ht="19.5" customHeight="1">
      <c r="A14" s="236">
        <f t="shared" si="0"/>
        <v>12</v>
      </c>
      <c r="B14" s="239" t="s">
        <v>219</v>
      </c>
      <c r="C14" s="238">
        <v>518.2</v>
      </c>
    </row>
    <row r="15" spans="1:3" ht="19.5" customHeight="1">
      <c r="A15" s="236">
        <f t="shared" si="0"/>
        <v>13</v>
      </c>
      <c r="B15" s="239" t="s">
        <v>220</v>
      </c>
      <c r="C15" s="238">
        <v>184</v>
      </c>
    </row>
    <row r="16" spans="1:3" ht="19.5" customHeight="1">
      <c r="A16" s="236">
        <f t="shared" si="0"/>
        <v>14</v>
      </c>
      <c r="B16" s="239" t="s">
        <v>225</v>
      </c>
      <c r="C16" s="238">
        <v>267.7</v>
      </c>
    </row>
    <row r="17" spans="1:3" ht="19.5" customHeight="1">
      <c r="A17" s="236">
        <f t="shared" si="0"/>
        <v>15</v>
      </c>
      <c r="B17" s="239" t="s">
        <v>221</v>
      </c>
      <c r="C17" s="238">
        <v>1683.7</v>
      </c>
    </row>
    <row r="18" spans="1:3" ht="19.5" customHeight="1">
      <c r="A18" s="240"/>
      <c r="B18" s="241" t="s">
        <v>200</v>
      </c>
      <c r="C18" s="242">
        <f>SUM(C3:C17)</f>
        <v>8000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" sqref="N5"/>
    </sheetView>
  </sheetViews>
  <sheetFormatPr defaultColWidth="10.421875" defaultRowHeight="12.75"/>
  <cols>
    <col min="1" max="1" width="5.421875" style="11" customWidth="1"/>
    <col min="2" max="2" width="18.8515625" style="11" customWidth="1"/>
    <col min="3" max="3" width="11.00390625" style="11" customWidth="1"/>
    <col min="4" max="4" width="11.00390625" style="91" customWidth="1"/>
    <col min="5" max="5" width="9.7109375" style="126" customWidth="1"/>
    <col min="6" max="6" width="7.8515625" style="126" customWidth="1"/>
    <col min="7" max="7" width="11.8515625" style="126" customWidth="1"/>
    <col min="8" max="8" width="11.140625" style="126" customWidth="1"/>
    <col min="9" max="9" width="10.140625" style="11" customWidth="1"/>
    <col min="10" max="10" width="11.00390625" style="91" customWidth="1"/>
    <col min="11" max="11" width="11.00390625" style="133" customWidth="1"/>
    <col min="12" max="12" width="11.00390625" style="91" customWidth="1"/>
    <col min="13" max="13" width="9.8515625" style="167" customWidth="1"/>
    <col min="14" max="14" width="9.8515625" style="91" customWidth="1"/>
    <col min="15" max="18" width="11.00390625" style="91" customWidth="1"/>
    <col min="19" max="19" width="10.00390625" style="11" customWidth="1"/>
    <col min="20" max="20" width="10.8515625" style="11" customWidth="1"/>
    <col min="21" max="21" width="10.00390625" style="91" customWidth="1"/>
    <col min="22" max="22" width="9.00390625" style="19" customWidth="1"/>
    <col min="23" max="23" width="10.28125" style="19" customWidth="1"/>
    <col min="24" max="24" width="10.57421875" style="19" customWidth="1"/>
    <col min="25" max="224" width="9.140625" style="11" customWidth="1"/>
    <col min="225" max="225" width="7.421875" style="11" customWidth="1"/>
    <col min="226" max="226" width="16.8515625" style="11" customWidth="1"/>
    <col min="227" max="227" width="25.421875" style="11" customWidth="1"/>
    <col min="228" max="228" width="10.7109375" style="11" customWidth="1"/>
    <col min="229" max="229" width="9.140625" style="11" customWidth="1"/>
    <col min="230" max="230" width="9.28125" style="11" customWidth="1"/>
    <col min="231" max="233" width="10.421875" style="11" customWidth="1"/>
    <col min="234" max="236" width="10.421875" style="11" hidden="1" customWidth="1"/>
    <col min="237" max="16384" width="10.421875" style="11" customWidth="1"/>
  </cols>
  <sheetData>
    <row r="1" spans="2:24" ht="8.2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8"/>
      <c r="U1" s="93"/>
      <c r="V1" s="10"/>
      <c r="W1" s="10"/>
      <c r="X1" s="10"/>
    </row>
    <row r="2" spans="1:24" ht="58.5" customHeight="1">
      <c r="A2" s="277" t="s">
        <v>101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2:24" ht="12" customHeight="1">
      <c r="B3" s="8"/>
      <c r="C3" s="8"/>
      <c r="D3" s="93"/>
      <c r="E3" s="120"/>
      <c r="F3" s="120"/>
      <c r="G3" s="120"/>
      <c r="H3" s="120"/>
      <c r="I3" s="8"/>
      <c r="J3" s="93"/>
      <c r="K3" s="129" t="s">
        <v>87</v>
      </c>
      <c r="L3" s="93"/>
      <c r="M3" s="158"/>
      <c r="N3" s="93"/>
      <c r="O3" s="93"/>
      <c r="P3" s="93"/>
      <c r="Q3" s="93"/>
      <c r="R3" s="93"/>
      <c r="S3" s="8"/>
      <c r="T3" s="8"/>
      <c r="U3" s="94"/>
      <c r="V3" s="10" t="s">
        <v>0</v>
      </c>
      <c r="W3" s="19" t="s">
        <v>80</v>
      </c>
      <c r="X3" s="117">
        <v>180</v>
      </c>
    </row>
    <row r="4" spans="1:24" ht="14.25" customHeight="1">
      <c r="A4" s="279" t="s">
        <v>56</v>
      </c>
      <c r="B4" s="98" t="s">
        <v>2</v>
      </c>
      <c r="C4" s="280" t="s">
        <v>99</v>
      </c>
      <c r="D4" s="282" t="s">
        <v>9</v>
      </c>
      <c r="E4" s="323" t="s">
        <v>59</v>
      </c>
      <c r="F4" s="323" t="s">
        <v>60</v>
      </c>
      <c r="G4" s="323" t="s">
        <v>66</v>
      </c>
      <c r="H4" s="326" t="s">
        <v>67</v>
      </c>
      <c r="I4" s="317" t="s">
        <v>69</v>
      </c>
      <c r="J4" s="282" t="s">
        <v>71</v>
      </c>
      <c r="K4" s="144"/>
      <c r="L4" s="320" t="s">
        <v>93</v>
      </c>
      <c r="M4" s="321"/>
      <c r="N4" s="321"/>
      <c r="O4" s="321"/>
      <c r="P4" s="321"/>
      <c r="Q4" s="322"/>
      <c r="R4" s="275" t="s">
        <v>92</v>
      </c>
      <c r="S4" s="111"/>
      <c r="T4" s="111"/>
      <c r="U4" s="315" t="s">
        <v>75</v>
      </c>
      <c r="V4" s="319" t="s">
        <v>77</v>
      </c>
      <c r="W4" s="317" t="s">
        <v>79</v>
      </c>
      <c r="X4" s="319" t="s">
        <v>57</v>
      </c>
    </row>
    <row r="5" spans="1:24" ht="81.75" customHeight="1">
      <c r="A5" s="279"/>
      <c r="B5" s="99"/>
      <c r="C5" s="281"/>
      <c r="D5" s="283"/>
      <c r="E5" s="324"/>
      <c r="F5" s="325"/>
      <c r="G5" s="324"/>
      <c r="H5" s="324"/>
      <c r="I5" s="318"/>
      <c r="J5" s="283"/>
      <c r="K5" s="145" t="s">
        <v>89</v>
      </c>
      <c r="L5" s="150" t="s">
        <v>90</v>
      </c>
      <c r="M5" s="159" t="s">
        <v>95</v>
      </c>
      <c r="N5" s="3" t="s">
        <v>100</v>
      </c>
      <c r="O5" s="3"/>
      <c r="P5" s="3" t="s">
        <v>98</v>
      </c>
      <c r="Q5" s="3"/>
      <c r="R5" s="274"/>
      <c r="S5" s="115" t="s">
        <v>73</v>
      </c>
      <c r="T5" s="115" t="s">
        <v>88</v>
      </c>
      <c r="U5" s="316"/>
      <c r="V5" s="319"/>
      <c r="W5" s="318"/>
      <c r="X5" s="319"/>
    </row>
    <row r="6" spans="1:24" ht="19.5" customHeight="1">
      <c r="A6" s="7"/>
      <c r="B6" s="99"/>
      <c r="C6" s="110" t="s">
        <v>70</v>
      </c>
      <c r="D6" s="113" t="s">
        <v>62</v>
      </c>
      <c r="E6" s="121" t="s">
        <v>58</v>
      </c>
      <c r="F6" s="121" t="s">
        <v>61</v>
      </c>
      <c r="G6" s="127" t="s">
        <v>64</v>
      </c>
      <c r="H6" s="127" t="s">
        <v>65</v>
      </c>
      <c r="I6" s="109" t="s">
        <v>63</v>
      </c>
      <c r="J6" s="113" t="s">
        <v>86</v>
      </c>
      <c r="K6" s="146"/>
      <c r="L6" s="142" t="s">
        <v>91</v>
      </c>
      <c r="M6" s="160" t="s">
        <v>94</v>
      </c>
      <c r="N6" s="156"/>
      <c r="O6" s="141"/>
      <c r="P6" s="141"/>
      <c r="Q6" s="141"/>
      <c r="R6" s="149"/>
      <c r="S6" s="313" t="s">
        <v>72</v>
      </c>
      <c r="T6" s="314"/>
      <c r="U6" s="108" t="s">
        <v>74</v>
      </c>
      <c r="V6" s="28" t="s">
        <v>76</v>
      </c>
      <c r="W6" s="28" t="s">
        <v>78</v>
      </c>
      <c r="X6" s="107" t="s">
        <v>81</v>
      </c>
    </row>
    <row r="7" spans="1:24" s="15" customFormat="1" ht="38.25" customHeight="1">
      <c r="A7" s="103">
        <v>1</v>
      </c>
      <c r="B7" s="100">
        <v>2</v>
      </c>
      <c r="C7" s="14" t="s">
        <v>96</v>
      </c>
      <c r="D7" s="114">
        <v>4</v>
      </c>
      <c r="E7" s="122">
        <v>5</v>
      </c>
      <c r="F7" s="122">
        <v>6</v>
      </c>
      <c r="G7" s="122">
        <v>7</v>
      </c>
      <c r="H7" s="122">
        <v>8</v>
      </c>
      <c r="I7" s="13" t="s">
        <v>68</v>
      </c>
      <c r="J7" s="114">
        <v>10</v>
      </c>
      <c r="K7" s="147">
        <v>11</v>
      </c>
      <c r="L7" s="114">
        <v>12</v>
      </c>
      <c r="M7" s="161">
        <v>13</v>
      </c>
      <c r="N7" s="114"/>
      <c r="O7" s="155" t="s">
        <v>97</v>
      </c>
      <c r="P7" s="114">
        <v>15</v>
      </c>
      <c r="Q7" s="114"/>
      <c r="R7" s="114"/>
      <c r="S7" s="112">
        <v>11</v>
      </c>
      <c r="T7" s="118">
        <v>12</v>
      </c>
      <c r="U7" s="105" t="s">
        <v>82</v>
      </c>
      <c r="V7" s="106" t="s">
        <v>83</v>
      </c>
      <c r="W7" s="106" t="s">
        <v>84</v>
      </c>
      <c r="X7" s="13" t="s">
        <v>85</v>
      </c>
    </row>
    <row r="8" spans="1:24" ht="15.75" customHeight="1">
      <c r="A8" s="7">
        <v>1</v>
      </c>
      <c r="B8" s="101" t="s">
        <v>13</v>
      </c>
      <c r="C8" s="21">
        <f>D8+I8+J8+K8</f>
        <v>4410.7</v>
      </c>
      <c r="D8" s="92"/>
      <c r="E8" s="134">
        <v>3666</v>
      </c>
      <c r="F8" s="134">
        <v>481</v>
      </c>
      <c r="G8" s="135">
        <v>430.4</v>
      </c>
      <c r="H8" s="136">
        <v>257.7</v>
      </c>
      <c r="I8" s="92">
        <f>E8+F8+G8-H8</f>
        <v>4319.7</v>
      </c>
      <c r="J8" s="137">
        <v>0</v>
      </c>
      <c r="K8" s="148">
        <v>91</v>
      </c>
      <c r="L8" s="143">
        <v>4888.4</v>
      </c>
      <c r="M8" s="162">
        <v>0</v>
      </c>
      <c r="N8" s="157">
        <v>257.7</v>
      </c>
      <c r="O8" s="138">
        <f>C8-L8-M8+N8</f>
        <v>-219.99999999999983</v>
      </c>
      <c r="P8" s="138">
        <v>220</v>
      </c>
      <c r="Q8" s="138">
        <v>0</v>
      </c>
      <c r="R8" s="138"/>
      <c r="S8" s="60">
        <v>383.8</v>
      </c>
      <c r="T8" s="60"/>
      <c r="U8" s="90">
        <f aca="true" t="shared" si="0" ref="U8:U31">(S8+T8)/C8</f>
        <v>0.08701566644750267</v>
      </c>
      <c r="V8" s="22">
        <v>0</v>
      </c>
      <c r="W8" s="116">
        <f>V8/V$32</f>
        <v>0</v>
      </c>
      <c r="X8" s="22">
        <f aca="true" t="shared" si="1" ref="X8:X31">$X$3*W8</f>
        <v>0</v>
      </c>
    </row>
    <row r="9" spans="1:24" ht="15.75" customHeight="1">
      <c r="A9" s="7">
        <f>A8+1</f>
        <v>2</v>
      </c>
      <c r="B9" s="101" t="s">
        <v>14</v>
      </c>
      <c r="C9" s="21">
        <f aca="true" t="shared" si="2" ref="C9:C31">D9+I9+J9+K9</f>
        <v>10158.7</v>
      </c>
      <c r="D9" s="92"/>
      <c r="E9" s="134">
        <v>8666</v>
      </c>
      <c r="F9" s="134">
        <v>722</v>
      </c>
      <c r="G9" s="135">
        <v>818.1</v>
      </c>
      <c r="H9" s="136">
        <v>220.9</v>
      </c>
      <c r="I9" s="92">
        <f>E9+F9+G9-H9</f>
        <v>9985.2</v>
      </c>
      <c r="J9" s="137">
        <v>0</v>
      </c>
      <c r="K9" s="148">
        <v>173.5</v>
      </c>
      <c r="L9" s="143">
        <v>10879.6</v>
      </c>
      <c r="M9" s="162">
        <v>0</v>
      </c>
      <c r="N9" s="157">
        <v>420.9</v>
      </c>
      <c r="O9" s="138">
        <f aca="true" t="shared" si="3" ref="O9:O31">C9-L9-M9</f>
        <v>-720.8999999999996</v>
      </c>
      <c r="P9" s="138">
        <v>500</v>
      </c>
      <c r="Q9" s="138">
        <v>0</v>
      </c>
      <c r="R9" s="138"/>
      <c r="S9" s="60">
        <v>814</v>
      </c>
      <c r="T9" s="60"/>
      <c r="U9" s="90">
        <f t="shared" si="0"/>
        <v>0.0801283628810773</v>
      </c>
      <c r="V9" s="22">
        <v>0</v>
      </c>
      <c r="W9" s="73">
        <f>V9/V$32</f>
        <v>0</v>
      </c>
      <c r="X9" s="22">
        <f t="shared" si="1"/>
        <v>0</v>
      </c>
    </row>
    <row r="10" spans="1:24" ht="15.75" customHeight="1">
      <c r="A10" s="7">
        <f aca="true" t="shared" si="4" ref="A10:A31">A9+1</f>
        <v>3</v>
      </c>
      <c r="B10" s="101" t="s">
        <v>15</v>
      </c>
      <c r="C10" s="21">
        <f t="shared" si="2"/>
        <v>1390.3000000000002</v>
      </c>
      <c r="D10" s="92"/>
      <c r="E10" s="134">
        <v>106</v>
      </c>
      <c r="F10" s="134">
        <v>5</v>
      </c>
      <c r="G10" s="135">
        <v>195.1</v>
      </c>
      <c r="H10" s="136">
        <v>184.1</v>
      </c>
      <c r="I10" s="92">
        <f aca="true" t="shared" si="5" ref="I10:I31">E10+F10+G10-H10</f>
        <v>122.00000000000003</v>
      </c>
      <c r="J10" s="137">
        <v>820.2</v>
      </c>
      <c r="K10" s="148">
        <v>448.1</v>
      </c>
      <c r="L10" s="143">
        <v>1588.4</v>
      </c>
      <c r="M10" s="162">
        <v>21.3</v>
      </c>
      <c r="N10" s="157">
        <v>184.1</v>
      </c>
      <c r="O10" s="138">
        <f t="shared" si="3"/>
        <v>-219.39999999999992</v>
      </c>
      <c r="P10" s="138">
        <v>14</v>
      </c>
      <c r="Q10" s="138">
        <f>O10+P10+N10</f>
        <v>-21.299999999999926</v>
      </c>
      <c r="R10" s="138"/>
      <c r="S10" s="60">
        <v>279.8</v>
      </c>
      <c r="T10" s="60"/>
      <c r="U10" s="90">
        <f t="shared" si="0"/>
        <v>0.20125152844709773</v>
      </c>
      <c r="V10" s="22">
        <v>0</v>
      </c>
      <c r="W10" s="73">
        <f aca="true" t="shared" si="6" ref="W10:W31">V10/V$32</f>
        <v>0</v>
      </c>
      <c r="X10" s="22">
        <f t="shared" si="1"/>
        <v>0</v>
      </c>
    </row>
    <row r="11" spans="1:24" s="91" customFormat="1" ht="15.75" customHeight="1">
      <c r="A11" s="128">
        <f t="shared" si="4"/>
        <v>4</v>
      </c>
      <c r="B11" s="102" t="s">
        <v>16</v>
      </c>
      <c r="C11" s="21">
        <f t="shared" si="2"/>
        <v>5187.9</v>
      </c>
      <c r="D11" s="92"/>
      <c r="E11" s="139">
        <v>352</v>
      </c>
      <c r="F11" s="139">
        <v>82</v>
      </c>
      <c r="G11" s="138">
        <v>701.8</v>
      </c>
      <c r="H11" s="140">
        <v>515.4</v>
      </c>
      <c r="I11" s="92">
        <f t="shared" si="5"/>
        <v>620.4</v>
      </c>
      <c r="J11" s="137">
        <v>1985.9</v>
      </c>
      <c r="K11" s="148">
        <v>2581.6</v>
      </c>
      <c r="L11" s="143">
        <v>5758.3</v>
      </c>
      <c r="M11" s="162">
        <v>190.8</v>
      </c>
      <c r="N11" s="157">
        <v>515.4</v>
      </c>
      <c r="O11" s="138">
        <f t="shared" si="3"/>
        <v>-761.2000000000005</v>
      </c>
      <c r="P11" s="138">
        <v>55</v>
      </c>
      <c r="Q11" s="138">
        <f aca="true" t="shared" si="7" ref="Q11:Q31">O11+P11+N11</f>
        <v>-190.80000000000052</v>
      </c>
      <c r="R11" s="138"/>
      <c r="S11" s="60">
        <v>619.5</v>
      </c>
      <c r="T11" s="60">
        <v>781</v>
      </c>
      <c r="U11" s="90">
        <f t="shared" si="0"/>
        <v>0.2699550878004588</v>
      </c>
      <c r="V11" s="90">
        <v>0.489</v>
      </c>
      <c r="W11" s="90">
        <f t="shared" si="6"/>
        <v>1</v>
      </c>
      <c r="X11" s="92">
        <f t="shared" si="1"/>
        <v>180</v>
      </c>
    </row>
    <row r="12" spans="1:24" s="91" customFormat="1" ht="15.75" customHeight="1">
      <c r="A12" s="7">
        <f t="shared" si="4"/>
        <v>5</v>
      </c>
      <c r="B12" s="102" t="s">
        <v>17</v>
      </c>
      <c r="C12" s="21">
        <f t="shared" si="2"/>
        <v>6164.9</v>
      </c>
      <c r="D12" s="92"/>
      <c r="E12" s="134">
        <v>1591</v>
      </c>
      <c r="F12" s="134">
        <v>273</v>
      </c>
      <c r="G12" s="135">
        <v>1142.4</v>
      </c>
      <c r="H12" s="136">
        <v>920.4</v>
      </c>
      <c r="I12" s="92">
        <f t="shared" si="5"/>
        <v>2086</v>
      </c>
      <c r="J12" s="137">
        <v>2051.5</v>
      </c>
      <c r="K12" s="148">
        <v>2027.4</v>
      </c>
      <c r="L12" s="143">
        <v>7230.3</v>
      </c>
      <c r="M12" s="162">
        <v>277.3</v>
      </c>
      <c r="N12" s="157">
        <v>920.4</v>
      </c>
      <c r="O12" s="138">
        <f t="shared" si="3"/>
        <v>-1342.7000000000005</v>
      </c>
      <c r="P12" s="138">
        <v>145</v>
      </c>
      <c r="Q12" s="138">
        <f t="shared" si="7"/>
        <v>-277.3000000000005</v>
      </c>
      <c r="R12" s="138"/>
      <c r="S12" s="60">
        <v>245.7</v>
      </c>
      <c r="T12" s="60">
        <v>201.8</v>
      </c>
      <c r="U12" s="90">
        <f t="shared" si="0"/>
        <v>0.07258836315268699</v>
      </c>
      <c r="V12" s="92">
        <v>0</v>
      </c>
      <c r="W12" s="73">
        <f t="shared" si="6"/>
        <v>0</v>
      </c>
      <c r="X12" s="22">
        <f t="shared" si="1"/>
        <v>0</v>
      </c>
    </row>
    <row r="13" spans="1:24" s="91" customFormat="1" ht="15.75" customHeight="1">
      <c r="A13" s="128">
        <f t="shared" si="4"/>
        <v>6</v>
      </c>
      <c r="B13" s="102" t="s">
        <v>18</v>
      </c>
      <c r="C13" s="21">
        <f t="shared" si="2"/>
        <v>5229.799999999999</v>
      </c>
      <c r="D13" s="92"/>
      <c r="E13" s="134">
        <v>234</v>
      </c>
      <c r="F13" s="134">
        <v>30</v>
      </c>
      <c r="G13" s="135">
        <v>555.5</v>
      </c>
      <c r="H13" s="136">
        <v>294.5</v>
      </c>
      <c r="I13" s="92">
        <f t="shared" si="5"/>
        <v>525</v>
      </c>
      <c r="J13" s="137">
        <v>1765.7</v>
      </c>
      <c r="K13" s="148">
        <v>2939.1</v>
      </c>
      <c r="L13" s="143">
        <v>5564.3</v>
      </c>
      <c r="M13" s="162">
        <v>134.7</v>
      </c>
      <c r="N13" s="157">
        <v>294.5</v>
      </c>
      <c r="O13" s="138">
        <f t="shared" si="3"/>
        <v>-469.2000000000009</v>
      </c>
      <c r="P13" s="138">
        <v>40</v>
      </c>
      <c r="Q13" s="138">
        <f t="shared" si="7"/>
        <v>-134.7000000000009</v>
      </c>
      <c r="R13" s="138"/>
      <c r="S13" s="60">
        <v>959.2</v>
      </c>
      <c r="T13" s="60">
        <v>100</v>
      </c>
      <c r="U13" s="90">
        <f t="shared" si="0"/>
        <v>0.20253164556962028</v>
      </c>
      <c r="V13" s="90">
        <v>0</v>
      </c>
      <c r="W13" s="90">
        <f t="shared" si="6"/>
        <v>0</v>
      </c>
      <c r="X13" s="92">
        <f t="shared" si="1"/>
        <v>0</v>
      </c>
    </row>
    <row r="14" spans="1:24" ht="15.75" customHeight="1">
      <c r="A14" s="7">
        <f t="shared" si="4"/>
        <v>7</v>
      </c>
      <c r="B14" s="101" t="s">
        <v>12</v>
      </c>
      <c r="C14" s="21">
        <f t="shared" si="2"/>
        <v>3500.2</v>
      </c>
      <c r="D14" s="92"/>
      <c r="E14" s="134">
        <v>186</v>
      </c>
      <c r="F14" s="134">
        <v>68</v>
      </c>
      <c r="G14" s="135">
        <v>644.3</v>
      </c>
      <c r="H14" s="136">
        <v>515.4</v>
      </c>
      <c r="I14" s="92">
        <f t="shared" si="5"/>
        <v>382.9</v>
      </c>
      <c r="J14" s="137">
        <v>1575.7</v>
      </c>
      <c r="K14" s="148">
        <v>1541.6</v>
      </c>
      <c r="L14" s="143">
        <v>4058.6</v>
      </c>
      <c r="M14" s="162">
        <v>143.9</v>
      </c>
      <c r="N14" s="157">
        <v>515.4</v>
      </c>
      <c r="O14" s="138">
        <f t="shared" si="3"/>
        <v>-702.3000000000001</v>
      </c>
      <c r="P14" s="138">
        <v>43</v>
      </c>
      <c r="Q14" s="138">
        <f t="shared" si="7"/>
        <v>-143.9000000000001</v>
      </c>
      <c r="R14" s="138"/>
      <c r="S14" s="60">
        <v>273.8</v>
      </c>
      <c r="T14" s="60">
        <v>72.3</v>
      </c>
      <c r="U14" s="90">
        <f t="shared" si="0"/>
        <v>0.09888006399634308</v>
      </c>
      <c r="V14" s="22">
        <v>0</v>
      </c>
      <c r="W14" s="73">
        <f t="shared" si="6"/>
        <v>0</v>
      </c>
      <c r="X14" s="22">
        <f t="shared" si="1"/>
        <v>0</v>
      </c>
    </row>
    <row r="15" spans="1:24" ht="15.75" customHeight="1">
      <c r="A15" s="7">
        <f t="shared" si="4"/>
        <v>8</v>
      </c>
      <c r="B15" s="101" t="s">
        <v>19</v>
      </c>
      <c r="C15" s="21">
        <f t="shared" si="2"/>
        <v>3289.2</v>
      </c>
      <c r="D15" s="92"/>
      <c r="E15" s="134">
        <v>1622</v>
      </c>
      <c r="F15" s="134">
        <v>950</v>
      </c>
      <c r="G15" s="135">
        <v>855.2</v>
      </c>
      <c r="H15" s="136">
        <v>773.2</v>
      </c>
      <c r="I15" s="92">
        <f t="shared" si="5"/>
        <v>2654</v>
      </c>
      <c r="J15" s="137">
        <v>565</v>
      </c>
      <c r="K15" s="148">
        <v>70.2</v>
      </c>
      <c r="L15" s="143">
        <v>4402.4</v>
      </c>
      <c r="M15" s="162">
        <v>0</v>
      </c>
      <c r="N15" s="157">
        <v>773.2</v>
      </c>
      <c r="O15" s="138">
        <f t="shared" si="3"/>
        <v>-1113.1999999999998</v>
      </c>
      <c r="P15" s="138">
        <v>340</v>
      </c>
      <c r="Q15" s="138">
        <f t="shared" si="7"/>
        <v>0</v>
      </c>
      <c r="R15" s="138"/>
      <c r="S15" s="60">
        <v>2824.6</v>
      </c>
      <c r="T15" s="60">
        <v>0</v>
      </c>
      <c r="U15" s="90">
        <f t="shared" si="0"/>
        <v>0.8587498479873525</v>
      </c>
      <c r="V15" s="22">
        <v>0</v>
      </c>
      <c r="W15" s="73">
        <f t="shared" si="6"/>
        <v>0</v>
      </c>
      <c r="X15" s="22">
        <f t="shared" si="1"/>
        <v>0</v>
      </c>
    </row>
    <row r="16" spans="1:24" ht="15.75" customHeight="1">
      <c r="A16" s="7">
        <f t="shared" si="4"/>
        <v>9</v>
      </c>
      <c r="B16" s="101" t="s">
        <v>20</v>
      </c>
      <c r="C16" s="21">
        <f t="shared" si="2"/>
        <v>8267.5</v>
      </c>
      <c r="D16" s="92"/>
      <c r="E16" s="134">
        <v>936.5</v>
      </c>
      <c r="F16" s="134">
        <v>664</v>
      </c>
      <c r="G16" s="135">
        <v>937.9</v>
      </c>
      <c r="H16" s="136">
        <v>625.9</v>
      </c>
      <c r="I16" s="92">
        <f t="shared" si="5"/>
        <v>1912.5</v>
      </c>
      <c r="J16" s="137">
        <v>2164.9</v>
      </c>
      <c r="K16" s="148">
        <v>4190.1</v>
      </c>
      <c r="L16" s="143">
        <v>9018.4</v>
      </c>
      <c r="M16" s="162">
        <v>363.2</v>
      </c>
      <c r="N16" s="157">
        <v>625.9</v>
      </c>
      <c r="O16" s="138">
        <f t="shared" si="3"/>
        <v>-1114.0999999999997</v>
      </c>
      <c r="P16" s="138">
        <v>125</v>
      </c>
      <c r="Q16" s="138">
        <f t="shared" si="7"/>
        <v>-363.1999999999997</v>
      </c>
      <c r="R16" s="138"/>
      <c r="S16" s="60">
        <v>524</v>
      </c>
      <c r="T16" s="60">
        <v>178.3</v>
      </c>
      <c r="U16" s="90">
        <f t="shared" si="0"/>
        <v>0.08494708194738433</v>
      </c>
      <c r="V16" s="22">
        <v>0</v>
      </c>
      <c r="W16" s="73">
        <f t="shared" si="6"/>
        <v>0</v>
      </c>
      <c r="X16" s="22">
        <f t="shared" si="1"/>
        <v>0</v>
      </c>
    </row>
    <row r="17" spans="1:24" s="91" customFormat="1" ht="15.75" customHeight="1">
      <c r="A17" s="128">
        <f t="shared" si="4"/>
        <v>10</v>
      </c>
      <c r="B17" s="102" t="s">
        <v>21</v>
      </c>
      <c r="C17" s="21">
        <f t="shared" si="2"/>
        <v>8267.4</v>
      </c>
      <c r="D17" s="92"/>
      <c r="E17" s="134">
        <v>412</v>
      </c>
      <c r="F17" s="134">
        <v>88</v>
      </c>
      <c r="G17" s="135">
        <v>1072.2</v>
      </c>
      <c r="H17" s="136">
        <v>957.2</v>
      </c>
      <c r="I17" s="92">
        <f t="shared" si="5"/>
        <v>615</v>
      </c>
      <c r="J17" s="137">
        <v>3372.6</v>
      </c>
      <c r="K17" s="148">
        <v>4279.8</v>
      </c>
      <c r="L17" s="143">
        <v>9301.6</v>
      </c>
      <c r="M17" s="162">
        <v>571.5</v>
      </c>
      <c r="N17" s="157">
        <v>957.2</v>
      </c>
      <c r="O17" s="138">
        <f t="shared" si="3"/>
        <v>-1605.7000000000007</v>
      </c>
      <c r="P17" s="138">
        <v>77</v>
      </c>
      <c r="Q17" s="138">
        <f t="shared" si="7"/>
        <v>-571.5000000000007</v>
      </c>
      <c r="R17" s="138"/>
      <c r="S17" s="60">
        <v>401.3</v>
      </c>
      <c r="T17" s="60">
        <v>347.9</v>
      </c>
      <c r="U17" s="90">
        <f t="shared" si="0"/>
        <v>0.09062099329898154</v>
      </c>
      <c r="V17" s="90">
        <v>0</v>
      </c>
      <c r="W17" s="90">
        <f>V17/V$32</f>
        <v>0</v>
      </c>
      <c r="X17" s="92">
        <f t="shared" si="1"/>
        <v>0</v>
      </c>
    </row>
    <row r="18" spans="1:24" s="91" customFormat="1" ht="15.75" customHeight="1">
      <c r="A18" s="128">
        <f t="shared" si="4"/>
        <v>11</v>
      </c>
      <c r="B18" s="102" t="s">
        <v>22</v>
      </c>
      <c r="C18" s="21">
        <f t="shared" si="2"/>
        <v>4780.299999999999</v>
      </c>
      <c r="D18" s="92"/>
      <c r="E18" s="134">
        <v>265</v>
      </c>
      <c r="F18" s="134">
        <v>78</v>
      </c>
      <c r="G18" s="135">
        <v>394.3</v>
      </c>
      <c r="H18" s="136">
        <v>331.3</v>
      </c>
      <c r="I18" s="92">
        <f t="shared" si="5"/>
        <v>405.99999999999994</v>
      </c>
      <c r="J18" s="137">
        <v>2030.6</v>
      </c>
      <c r="K18" s="148">
        <v>2343.7</v>
      </c>
      <c r="L18" s="143">
        <v>5146.6</v>
      </c>
      <c r="M18" s="162">
        <v>169</v>
      </c>
      <c r="N18" s="157">
        <v>331.3</v>
      </c>
      <c r="O18" s="138">
        <f t="shared" si="3"/>
        <v>-535.3000000000011</v>
      </c>
      <c r="P18" s="138">
        <v>35</v>
      </c>
      <c r="Q18" s="138">
        <f t="shared" si="7"/>
        <v>-169.00000000000108</v>
      </c>
      <c r="R18" s="138"/>
      <c r="S18" s="60">
        <v>239.7</v>
      </c>
      <c r="T18" s="60">
        <v>9.4</v>
      </c>
      <c r="U18" s="90">
        <f t="shared" si="0"/>
        <v>0.05210970022801917</v>
      </c>
      <c r="V18" s="90">
        <v>0</v>
      </c>
      <c r="W18" s="90">
        <f t="shared" si="6"/>
        <v>0</v>
      </c>
      <c r="X18" s="92">
        <f t="shared" si="1"/>
        <v>0</v>
      </c>
    </row>
    <row r="19" spans="1:24" s="91" customFormat="1" ht="15.75" customHeight="1">
      <c r="A19" s="128">
        <f t="shared" si="4"/>
        <v>12</v>
      </c>
      <c r="B19" s="102" t="s">
        <v>23</v>
      </c>
      <c r="C19" s="21">
        <f t="shared" si="2"/>
        <v>6094.4</v>
      </c>
      <c r="D19" s="92"/>
      <c r="E19" s="134">
        <v>432.5</v>
      </c>
      <c r="F19" s="134">
        <v>103</v>
      </c>
      <c r="G19" s="135">
        <v>823</v>
      </c>
      <c r="H19" s="136">
        <v>699.5</v>
      </c>
      <c r="I19" s="92">
        <f t="shared" si="5"/>
        <v>659</v>
      </c>
      <c r="J19" s="137">
        <v>2628.7</v>
      </c>
      <c r="K19" s="148">
        <v>2806.7</v>
      </c>
      <c r="L19" s="143">
        <v>6859.9</v>
      </c>
      <c r="M19" s="162">
        <v>120.3</v>
      </c>
      <c r="N19" s="157">
        <v>699.5</v>
      </c>
      <c r="O19" s="138">
        <f t="shared" si="3"/>
        <v>-885.8</v>
      </c>
      <c r="P19" s="138">
        <v>66</v>
      </c>
      <c r="Q19" s="138">
        <f t="shared" si="7"/>
        <v>-120.29999999999995</v>
      </c>
      <c r="R19" s="138"/>
      <c r="S19" s="60">
        <v>223.3</v>
      </c>
      <c r="T19" s="60">
        <f>143.4</f>
        <v>143.4</v>
      </c>
      <c r="U19" s="90">
        <f t="shared" si="0"/>
        <v>0.06016999212391705</v>
      </c>
      <c r="V19" s="90">
        <v>0</v>
      </c>
      <c r="W19" s="90">
        <f t="shared" si="6"/>
        <v>0</v>
      </c>
      <c r="X19" s="92">
        <f t="shared" si="1"/>
        <v>0</v>
      </c>
    </row>
    <row r="20" spans="1:24" s="91" customFormat="1" ht="15.75" customHeight="1">
      <c r="A20" s="128">
        <f t="shared" si="4"/>
        <v>13</v>
      </c>
      <c r="B20" s="102" t="s">
        <v>24</v>
      </c>
      <c r="C20" s="21">
        <f t="shared" si="2"/>
        <v>2992.5</v>
      </c>
      <c r="D20" s="92"/>
      <c r="E20" s="134">
        <v>97</v>
      </c>
      <c r="F20" s="134">
        <v>11.6</v>
      </c>
      <c r="G20" s="135">
        <v>235.1</v>
      </c>
      <c r="H20" s="136">
        <v>184.1</v>
      </c>
      <c r="I20" s="92">
        <f t="shared" si="5"/>
        <v>159.6</v>
      </c>
      <c r="J20" s="137">
        <v>1078.5</v>
      </c>
      <c r="K20" s="148">
        <v>1754.4</v>
      </c>
      <c r="L20" s="143">
        <v>3192.6</v>
      </c>
      <c r="M20" s="162">
        <v>137.6</v>
      </c>
      <c r="N20" s="157">
        <v>184.1</v>
      </c>
      <c r="O20" s="138">
        <f t="shared" si="3"/>
        <v>-337.69999999999993</v>
      </c>
      <c r="P20" s="138">
        <v>16</v>
      </c>
      <c r="Q20" s="138">
        <f t="shared" si="7"/>
        <v>-137.59999999999994</v>
      </c>
      <c r="R20" s="138"/>
      <c r="S20" s="60">
        <v>203.9</v>
      </c>
      <c r="T20" s="60">
        <v>150.5</v>
      </c>
      <c r="U20" s="90">
        <f t="shared" si="0"/>
        <v>0.11842940685045947</v>
      </c>
      <c r="V20" s="90">
        <v>0</v>
      </c>
      <c r="W20" s="90">
        <f t="shared" si="6"/>
        <v>0</v>
      </c>
      <c r="X20" s="92">
        <f t="shared" si="1"/>
        <v>0</v>
      </c>
    </row>
    <row r="21" spans="1:24" s="91" customFormat="1" ht="15.75" customHeight="1">
      <c r="A21" s="128">
        <f t="shared" si="4"/>
        <v>14</v>
      </c>
      <c r="B21" s="102" t="s">
        <v>25</v>
      </c>
      <c r="C21" s="21">
        <f t="shared" si="2"/>
        <v>2222.4</v>
      </c>
      <c r="D21" s="92"/>
      <c r="E21" s="134">
        <v>407</v>
      </c>
      <c r="F21" s="134">
        <v>30</v>
      </c>
      <c r="G21" s="135">
        <v>277.4</v>
      </c>
      <c r="H21" s="136">
        <v>257.7</v>
      </c>
      <c r="I21" s="92">
        <f t="shared" si="5"/>
        <v>456.7</v>
      </c>
      <c r="J21" s="137">
        <v>852.8</v>
      </c>
      <c r="K21" s="148">
        <v>912.9</v>
      </c>
      <c r="L21" s="143">
        <v>2514.1</v>
      </c>
      <c r="M21" s="162">
        <v>45.1</v>
      </c>
      <c r="N21" s="157">
        <v>257.7</v>
      </c>
      <c r="O21" s="138">
        <f t="shared" si="3"/>
        <v>-336.79999999999984</v>
      </c>
      <c r="P21" s="138">
        <v>34</v>
      </c>
      <c r="Q21" s="138">
        <f t="shared" si="7"/>
        <v>-45.09999999999985</v>
      </c>
      <c r="R21" s="138"/>
      <c r="S21" s="60">
        <v>142</v>
      </c>
      <c r="T21" s="60">
        <v>32.8</v>
      </c>
      <c r="U21" s="90">
        <f t="shared" si="0"/>
        <v>0.07865370770338373</v>
      </c>
      <c r="V21" s="92">
        <v>0</v>
      </c>
      <c r="W21" s="90">
        <f t="shared" si="6"/>
        <v>0</v>
      </c>
      <c r="X21" s="92">
        <f t="shared" si="1"/>
        <v>0</v>
      </c>
    </row>
    <row r="22" spans="1:24" s="91" customFormat="1" ht="15.75" customHeight="1">
      <c r="A22" s="128">
        <f t="shared" si="4"/>
        <v>15</v>
      </c>
      <c r="B22" s="102" t="s">
        <v>26</v>
      </c>
      <c r="C22" s="21">
        <f t="shared" si="2"/>
        <v>7410.5</v>
      </c>
      <c r="D22" s="92"/>
      <c r="E22" s="134">
        <v>628.5</v>
      </c>
      <c r="F22" s="134">
        <v>247</v>
      </c>
      <c r="G22" s="135">
        <v>1280.9</v>
      </c>
      <c r="H22" s="136">
        <v>1214.9</v>
      </c>
      <c r="I22" s="92">
        <f t="shared" si="5"/>
        <v>941.5</v>
      </c>
      <c r="J22" s="137">
        <v>3057.1</v>
      </c>
      <c r="K22" s="148">
        <v>3411.9</v>
      </c>
      <c r="L22" s="143">
        <v>8730.4</v>
      </c>
      <c r="M22" s="162">
        <v>298.9</v>
      </c>
      <c r="N22" s="157">
        <v>1214.9</v>
      </c>
      <c r="O22" s="138">
        <f t="shared" si="3"/>
        <v>-1618.7999999999997</v>
      </c>
      <c r="P22" s="138">
        <v>105</v>
      </c>
      <c r="Q22" s="138">
        <f t="shared" si="7"/>
        <v>-298.89999999999964</v>
      </c>
      <c r="R22" s="138"/>
      <c r="S22" s="60">
        <v>274.7</v>
      </c>
      <c r="T22" s="60">
        <v>-38.3</v>
      </c>
      <c r="U22" s="90">
        <f t="shared" si="0"/>
        <v>0.031900681465488155</v>
      </c>
      <c r="V22" s="92">
        <v>0</v>
      </c>
      <c r="W22" s="90">
        <f t="shared" si="6"/>
        <v>0</v>
      </c>
      <c r="X22" s="92">
        <f t="shared" si="1"/>
        <v>0</v>
      </c>
    </row>
    <row r="23" spans="1:24" s="91" customFormat="1" ht="15.75" customHeight="1">
      <c r="A23" s="128">
        <f t="shared" si="4"/>
        <v>16</v>
      </c>
      <c r="B23" s="102" t="s">
        <v>27</v>
      </c>
      <c r="C23" s="21">
        <f t="shared" si="2"/>
        <v>4847.9</v>
      </c>
      <c r="D23" s="92"/>
      <c r="E23" s="134">
        <v>261.5</v>
      </c>
      <c r="F23" s="134">
        <v>138</v>
      </c>
      <c r="G23" s="135">
        <v>893.8</v>
      </c>
      <c r="H23" s="136">
        <v>441.8</v>
      </c>
      <c r="I23" s="92">
        <f t="shared" si="5"/>
        <v>851.5</v>
      </c>
      <c r="J23" s="137">
        <v>2187.8</v>
      </c>
      <c r="K23" s="148">
        <v>1808.6</v>
      </c>
      <c r="L23" s="143">
        <v>5352.7</v>
      </c>
      <c r="M23" s="162">
        <v>254.5</v>
      </c>
      <c r="N23" s="157">
        <v>441.8</v>
      </c>
      <c r="O23" s="138">
        <f t="shared" si="3"/>
        <v>-759.3000000000002</v>
      </c>
      <c r="P23" s="138">
        <v>63</v>
      </c>
      <c r="Q23" s="138">
        <f t="shared" si="7"/>
        <v>-254.50000000000017</v>
      </c>
      <c r="R23" s="138"/>
      <c r="S23" s="60">
        <v>676.4</v>
      </c>
      <c r="T23" s="60">
        <f>45</f>
        <v>45</v>
      </c>
      <c r="U23" s="90">
        <f t="shared" si="0"/>
        <v>0.14880669980816436</v>
      </c>
      <c r="V23" s="92">
        <v>0</v>
      </c>
      <c r="W23" s="90">
        <f t="shared" si="6"/>
        <v>0</v>
      </c>
      <c r="X23" s="92">
        <f t="shared" si="1"/>
        <v>0</v>
      </c>
    </row>
    <row r="24" spans="1:24" ht="15.75" customHeight="1">
      <c r="A24" s="7">
        <f t="shared" si="4"/>
        <v>17</v>
      </c>
      <c r="B24" s="101" t="s">
        <v>28</v>
      </c>
      <c r="C24" s="21">
        <f t="shared" si="2"/>
        <v>2921.7</v>
      </c>
      <c r="D24" s="92"/>
      <c r="E24" s="134">
        <v>91</v>
      </c>
      <c r="F24" s="134">
        <v>42</v>
      </c>
      <c r="G24" s="135">
        <v>349.5</v>
      </c>
      <c r="H24" s="136">
        <v>294.5</v>
      </c>
      <c r="I24" s="92">
        <f t="shared" si="5"/>
        <v>188</v>
      </c>
      <c r="J24" s="137">
        <v>1269.6</v>
      </c>
      <c r="K24" s="148">
        <v>1464.1</v>
      </c>
      <c r="L24" s="143">
        <v>3239.2</v>
      </c>
      <c r="M24" s="162">
        <v>126.7</v>
      </c>
      <c r="N24" s="157">
        <v>294.5</v>
      </c>
      <c r="O24" s="138">
        <f t="shared" si="3"/>
        <v>-444.2</v>
      </c>
      <c r="P24" s="138">
        <v>23</v>
      </c>
      <c r="Q24" s="138">
        <f t="shared" si="7"/>
        <v>-126.69999999999999</v>
      </c>
      <c r="R24" s="138"/>
      <c r="S24" s="60">
        <v>65.4</v>
      </c>
      <c r="T24" s="60">
        <v>138.5</v>
      </c>
      <c r="U24" s="90">
        <f t="shared" si="0"/>
        <v>0.06978813704350208</v>
      </c>
      <c r="V24" s="22">
        <v>0</v>
      </c>
      <c r="W24" s="73">
        <f t="shared" si="6"/>
        <v>0</v>
      </c>
      <c r="X24" s="22">
        <f t="shared" si="1"/>
        <v>0</v>
      </c>
    </row>
    <row r="25" spans="1:24" ht="15.75" customHeight="1">
      <c r="A25" s="7">
        <f t="shared" si="4"/>
        <v>18</v>
      </c>
      <c r="B25" s="101" t="s">
        <v>29</v>
      </c>
      <c r="C25" s="21">
        <f t="shared" si="2"/>
        <v>2505.2</v>
      </c>
      <c r="D25" s="92"/>
      <c r="E25" s="134">
        <v>88</v>
      </c>
      <c r="F25" s="134">
        <v>5</v>
      </c>
      <c r="G25" s="135">
        <v>270.7</v>
      </c>
      <c r="H25" s="136">
        <v>257.7</v>
      </c>
      <c r="I25" s="92">
        <f t="shared" si="5"/>
        <v>106</v>
      </c>
      <c r="J25" s="137">
        <v>1036.3</v>
      </c>
      <c r="K25" s="148">
        <v>1362.9</v>
      </c>
      <c r="L25" s="143">
        <v>2780.4</v>
      </c>
      <c r="M25" s="162">
        <v>175.1</v>
      </c>
      <c r="N25" s="157">
        <v>257.7</v>
      </c>
      <c r="O25" s="138">
        <f t="shared" si="3"/>
        <v>-450.3000000000003</v>
      </c>
      <c r="P25" s="138">
        <v>17.5</v>
      </c>
      <c r="Q25" s="138">
        <f t="shared" si="7"/>
        <v>-175.1000000000003</v>
      </c>
      <c r="R25" s="138"/>
      <c r="S25" s="60">
        <v>48.1</v>
      </c>
      <c r="T25" s="60">
        <v>70.3</v>
      </c>
      <c r="U25" s="90">
        <f t="shared" si="0"/>
        <v>0.04726169567300016</v>
      </c>
      <c r="V25" s="22">
        <v>0</v>
      </c>
      <c r="W25" s="73">
        <f t="shared" si="6"/>
        <v>0</v>
      </c>
      <c r="X25" s="22">
        <f t="shared" si="1"/>
        <v>0</v>
      </c>
    </row>
    <row r="26" spans="1:24" ht="15.75" customHeight="1">
      <c r="A26" s="7">
        <f t="shared" si="4"/>
        <v>19</v>
      </c>
      <c r="B26" s="101" t="s">
        <v>30</v>
      </c>
      <c r="C26" s="21">
        <f t="shared" si="2"/>
        <v>4993.3</v>
      </c>
      <c r="D26" s="92"/>
      <c r="E26" s="134">
        <v>181.5</v>
      </c>
      <c r="F26" s="134">
        <v>179</v>
      </c>
      <c r="G26" s="135">
        <v>873.9</v>
      </c>
      <c r="H26" s="136">
        <v>736.4</v>
      </c>
      <c r="I26" s="92">
        <f t="shared" si="5"/>
        <v>498.0000000000001</v>
      </c>
      <c r="J26" s="137">
        <v>2320.3</v>
      </c>
      <c r="K26" s="148">
        <v>2175</v>
      </c>
      <c r="L26" s="143">
        <v>5789.7</v>
      </c>
      <c r="M26" s="162">
        <v>150.3</v>
      </c>
      <c r="N26" s="157">
        <v>736.4</v>
      </c>
      <c r="O26" s="138">
        <f t="shared" si="3"/>
        <v>-946.6999999999996</v>
      </c>
      <c r="P26" s="138">
        <v>60</v>
      </c>
      <c r="Q26" s="138">
        <f t="shared" si="7"/>
        <v>-150.2999999999996</v>
      </c>
      <c r="R26" s="138"/>
      <c r="S26" s="60">
        <v>350.1</v>
      </c>
      <c r="T26" s="60">
        <v>157.2</v>
      </c>
      <c r="U26" s="90">
        <f t="shared" si="0"/>
        <v>0.10159613882602687</v>
      </c>
      <c r="V26" s="22">
        <v>0</v>
      </c>
      <c r="W26" s="73">
        <f t="shared" si="6"/>
        <v>0</v>
      </c>
      <c r="X26" s="22">
        <f t="shared" si="1"/>
        <v>0</v>
      </c>
    </row>
    <row r="27" spans="1:24" ht="15.75" customHeight="1">
      <c r="A27" s="7">
        <f t="shared" si="4"/>
        <v>20</v>
      </c>
      <c r="B27" s="101" t="s">
        <v>31</v>
      </c>
      <c r="C27" s="21">
        <f t="shared" si="2"/>
        <v>9641.2</v>
      </c>
      <c r="D27" s="92"/>
      <c r="E27" s="134">
        <v>2638.5</v>
      </c>
      <c r="F27" s="134">
        <v>322</v>
      </c>
      <c r="G27" s="135">
        <v>785.3</v>
      </c>
      <c r="H27" s="136">
        <v>515.4</v>
      </c>
      <c r="I27" s="92">
        <f t="shared" si="5"/>
        <v>3230.4</v>
      </c>
      <c r="J27" s="137">
        <v>3119.1</v>
      </c>
      <c r="K27" s="148">
        <v>3291.7</v>
      </c>
      <c r="L27" s="143">
        <v>10341.6</v>
      </c>
      <c r="M27" s="162">
        <v>370.5</v>
      </c>
      <c r="N27" s="157">
        <v>515.4</v>
      </c>
      <c r="O27" s="138">
        <f t="shared" si="3"/>
        <v>-1070.8999999999996</v>
      </c>
      <c r="P27" s="138">
        <v>185</v>
      </c>
      <c r="Q27" s="138">
        <f t="shared" si="7"/>
        <v>-370.49999999999966</v>
      </c>
      <c r="R27" s="138"/>
      <c r="S27" s="60">
        <v>676.8</v>
      </c>
      <c r="T27" s="60">
        <v>-191.6</v>
      </c>
      <c r="U27" s="90">
        <f t="shared" si="0"/>
        <v>0.05032568559930298</v>
      </c>
      <c r="V27" s="22">
        <v>0</v>
      </c>
      <c r="W27" s="73">
        <f t="shared" si="6"/>
        <v>0</v>
      </c>
      <c r="X27" s="22">
        <f t="shared" si="1"/>
        <v>0</v>
      </c>
    </row>
    <row r="28" spans="1:24" ht="15.75" customHeight="1">
      <c r="A28" s="7">
        <f t="shared" si="4"/>
        <v>21</v>
      </c>
      <c r="B28" s="101" t="s">
        <v>32</v>
      </c>
      <c r="C28" s="21">
        <f t="shared" si="2"/>
        <v>2649</v>
      </c>
      <c r="D28" s="92"/>
      <c r="E28" s="134">
        <v>100</v>
      </c>
      <c r="F28" s="134">
        <v>15</v>
      </c>
      <c r="G28" s="135">
        <v>403.1</v>
      </c>
      <c r="H28" s="136">
        <v>368.1</v>
      </c>
      <c r="I28" s="92">
        <f t="shared" si="5"/>
        <v>150</v>
      </c>
      <c r="J28" s="137">
        <v>1472.3</v>
      </c>
      <c r="K28" s="148">
        <v>1026.7</v>
      </c>
      <c r="L28" s="143">
        <v>3042.1</v>
      </c>
      <c r="M28" s="162">
        <v>75.2</v>
      </c>
      <c r="N28" s="157">
        <v>368.1</v>
      </c>
      <c r="O28" s="138">
        <f t="shared" si="3"/>
        <v>-468.2999999999999</v>
      </c>
      <c r="P28" s="138">
        <v>25</v>
      </c>
      <c r="Q28" s="138">
        <f t="shared" si="7"/>
        <v>-75.19999999999987</v>
      </c>
      <c r="R28" s="138"/>
      <c r="S28" s="60">
        <v>165.3</v>
      </c>
      <c r="T28" s="60"/>
      <c r="U28" s="90">
        <f t="shared" si="0"/>
        <v>0.06240090600226501</v>
      </c>
      <c r="V28" s="22">
        <v>0</v>
      </c>
      <c r="W28" s="73">
        <f t="shared" si="6"/>
        <v>0</v>
      </c>
      <c r="X28" s="22">
        <f t="shared" si="1"/>
        <v>0</v>
      </c>
    </row>
    <row r="29" spans="1:24" ht="15.75" customHeight="1">
      <c r="A29" s="7">
        <f t="shared" si="4"/>
        <v>22</v>
      </c>
      <c r="B29" s="101" t="s">
        <v>33</v>
      </c>
      <c r="C29" s="21">
        <f t="shared" si="2"/>
        <v>3563.5</v>
      </c>
      <c r="D29" s="92"/>
      <c r="E29" s="134">
        <v>147.1</v>
      </c>
      <c r="F29" s="134">
        <v>47</v>
      </c>
      <c r="G29" s="135">
        <v>333.7</v>
      </c>
      <c r="H29" s="136">
        <v>257.7</v>
      </c>
      <c r="I29" s="92">
        <f t="shared" si="5"/>
        <v>270.09999999999997</v>
      </c>
      <c r="J29" s="137">
        <v>1418.1</v>
      </c>
      <c r="K29" s="148">
        <v>1875.3</v>
      </c>
      <c r="L29" s="143">
        <v>3846.2</v>
      </c>
      <c r="M29" s="162">
        <v>104.6</v>
      </c>
      <c r="N29" s="157">
        <v>257.7</v>
      </c>
      <c r="O29" s="138">
        <f t="shared" si="3"/>
        <v>-387.29999999999984</v>
      </c>
      <c r="P29" s="138">
        <v>25</v>
      </c>
      <c r="Q29" s="138">
        <f t="shared" si="7"/>
        <v>-104.59999999999985</v>
      </c>
      <c r="R29" s="138"/>
      <c r="S29" s="60">
        <v>234.9</v>
      </c>
      <c r="T29" s="60">
        <v>23.9</v>
      </c>
      <c r="U29" s="90">
        <f t="shared" si="0"/>
        <v>0.07262522800617371</v>
      </c>
      <c r="V29" s="22">
        <v>0</v>
      </c>
      <c r="W29" s="73">
        <f t="shared" si="6"/>
        <v>0</v>
      </c>
      <c r="X29" s="22">
        <f t="shared" si="1"/>
        <v>0</v>
      </c>
    </row>
    <row r="30" spans="1:24" ht="15.75" customHeight="1">
      <c r="A30" s="7">
        <f t="shared" si="4"/>
        <v>23</v>
      </c>
      <c r="B30" s="101" t="s">
        <v>34</v>
      </c>
      <c r="C30" s="21">
        <f t="shared" si="2"/>
        <v>1837.8999999999999</v>
      </c>
      <c r="D30" s="92"/>
      <c r="E30" s="134">
        <v>108</v>
      </c>
      <c r="F30" s="134">
        <v>29</v>
      </c>
      <c r="G30" s="135">
        <v>343.1</v>
      </c>
      <c r="H30" s="136">
        <v>184.1</v>
      </c>
      <c r="I30" s="92">
        <f t="shared" si="5"/>
        <v>296</v>
      </c>
      <c r="J30" s="137">
        <v>1012.6</v>
      </c>
      <c r="K30" s="148">
        <v>529.3</v>
      </c>
      <c r="L30" s="143">
        <v>2045</v>
      </c>
      <c r="M30" s="162">
        <v>81.9</v>
      </c>
      <c r="N30" s="157">
        <v>184.1</v>
      </c>
      <c r="O30" s="138">
        <f t="shared" si="3"/>
        <v>-289.0000000000001</v>
      </c>
      <c r="P30" s="138">
        <v>23</v>
      </c>
      <c r="Q30" s="138">
        <f t="shared" si="7"/>
        <v>-81.90000000000012</v>
      </c>
      <c r="R30" s="138"/>
      <c r="S30" s="60">
        <v>246.3</v>
      </c>
      <c r="T30" s="60">
        <f>83.7</f>
        <v>83.7</v>
      </c>
      <c r="U30" s="90">
        <f t="shared" si="0"/>
        <v>0.17955275042167693</v>
      </c>
      <c r="V30" s="22">
        <v>0</v>
      </c>
      <c r="W30" s="73">
        <f t="shared" si="6"/>
        <v>0</v>
      </c>
      <c r="X30" s="22">
        <f t="shared" si="1"/>
        <v>0</v>
      </c>
    </row>
    <row r="31" spans="1:24" ht="15.75" customHeight="1">
      <c r="A31" s="7">
        <f t="shared" si="4"/>
        <v>24</v>
      </c>
      <c r="B31" s="101" t="s">
        <v>35</v>
      </c>
      <c r="C31" s="21">
        <f t="shared" si="2"/>
        <v>8581.4</v>
      </c>
      <c r="D31" s="92"/>
      <c r="E31" s="134">
        <v>612.7</v>
      </c>
      <c r="F31" s="134">
        <v>513</v>
      </c>
      <c r="G31" s="135">
        <v>763.1</v>
      </c>
      <c r="H31" s="136">
        <v>589.1</v>
      </c>
      <c r="I31" s="92">
        <f t="shared" si="5"/>
        <v>1299.7000000000003</v>
      </c>
      <c r="J31" s="137">
        <v>4103.2</v>
      </c>
      <c r="K31" s="148">
        <v>3178.5</v>
      </c>
      <c r="L31" s="143">
        <v>9263.5</v>
      </c>
      <c r="M31" s="162">
        <v>478.3</v>
      </c>
      <c r="N31" s="157">
        <v>589.1</v>
      </c>
      <c r="O31" s="138">
        <f t="shared" si="3"/>
        <v>-1160.4000000000003</v>
      </c>
      <c r="P31" s="138">
        <v>93</v>
      </c>
      <c r="Q31" s="138">
        <f t="shared" si="7"/>
        <v>-478.3000000000003</v>
      </c>
      <c r="R31" s="138"/>
      <c r="S31" s="60">
        <v>479.9</v>
      </c>
      <c r="T31" s="60">
        <v>233.7</v>
      </c>
      <c r="U31" s="90">
        <f t="shared" si="0"/>
        <v>0.08315659449507072</v>
      </c>
      <c r="V31" s="22">
        <v>0</v>
      </c>
      <c r="W31" s="73">
        <f t="shared" si="6"/>
        <v>0</v>
      </c>
      <c r="X31" s="22">
        <f t="shared" si="1"/>
        <v>0</v>
      </c>
    </row>
    <row r="32" spans="1:24" s="25" customFormat="1" ht="12.75">
      <c r="A32" s="104"/>
      <c r="B32" s="24"/>
      <c r="C32" s="151">
        <f>SUM(C8:C31)</f>
        <v>120907.79999999996</v>
      </c>
      <c r="D32" s="152">
        <f aca="true" t="shared" si="8" ref="D32:S32">SUM(D8:D31)</f>
        <v>0</v>
      </c>
      <c r="E32" s="153">
        <f t="shared" si="8"/>
        <v>23829.8</v>
      </c>
      <c r="F32" s="153">
        <f t="shared" si="8"/>
        <v>5122.6</v>
      </c>
      <c r="G32" s="153">
        <f t="shared" si="8"/>
        <v>15379.8</v>
      </c>
      <c r="H32" s="153">
        <f t="shared" si="8"/>
        <v>11597.000000000002</v>
      </c>
      <c r="I32" s="151">
        <f>SUM(I8:I31)</f>
        <v>32735.200000000004</v>
      </c>
      <c r="J32" s="152">
        <f t="shared" si="8"/>
        <v>41888.49999999999</v>
      </c>
      <c r="K32" s="154">
        <f>SUM(K8:K31)</f>
        <v>46284.100000000006</v>
      </c>
      <c r="L32" s="152">
        <f t="shared" si="8"/>
        <v>134834.3</v>
      </c>
      <c r="M32" s="163">
        <f t="shared" si="8"/>
        <v>4290.7</v>
      </c>
      <c r="N32" s="152">
        <f t="shared" si="8"/>
        <v>11797.000000000002</v>
      </c>
      <c r="O32" s="152">
        <f t="shared" si="8"/>
        <v>-17959.500000000004</v>
      </c>
      <c r="P32" s="152">
        <f t="shared" si="8"/>
        <v>2329.5</v>
      </c>
      <c r="Q32" s="152">
        <f t="shared" si="8"/>
        <v>-4290.700000000003</v>
      </c>
      <c r="R32" s="152">
        <f t="shared" si="8"/>
        <v>0</v>
      </c>
      <c r="S32" s="151">
        <f t="shared" si="8"/>
        <v>11352.499999999996</v>
      </c>
      <c r="T32" s="151">
        <f>SUM(T8:T31)</f>
        <v>2539.7999999999997</v>
      </c>
      <c r="U32" s="151">
        <f>SUM(U8:U31)</f>
        <v>3.2034459657749563</v>
      </c>
      <c r="V32" s="151">
        <f>SUM(V8:V31)</f>
        <v>0.489</v>
      </c>
      <c r="W32" s="151">
        <f>SUM(W8:W31)</f>
        <v>1</v>
      </c>
      <c r="X32" s="151">
        <f>SUM(X8:X31)</f>
        <v>180</v>
      </c>
    </row>
    <row r="33" spans="2:21" ht="12.75">
      <c r="B33" s="17"/>
      <c r="C33" s="17"/>
      <c r="D33" s="119"/>
      <c r="E33" s="123"/>
      <c r="F33" s="123"/>
      <c r="G33" s="123"/>
      <c r="H33" s="123"/>
      <c r="I33" s="18"/>
      <c r="J33" s="119"/>
      <c r="K33" s="130"/>
      <c r="L33" s="119"/>
      <c r="M33" s="164"/>
      <c r="N33" s="119"/>
      <c r="O33" s="119"/>
      <c r="P33" s="119"/>
      <c r="Q33" s="119"/>
      <c r="R33" s="119"/>
      <c r="S33" s="17"/>
      <c r="T33" s="17"/>
      <c r="U33" s="95"/>
    </row>
    <row r="34" spans="4:18" ht="12.75">
      <c r="D34" s="119"/>
      <c r="E34" s="123"/>
      <c r="F34" s="123"/>
      <c r="G34" s="123"/>
      <c r="H34" s="123"/>
      <c r="I34" s="18"/>
      <c r="J34" s="119"/>
      <c r="K34" s="130"/>
      <c r="L34" s="119"/>
      <c r="M34" s="164"/>
      <c r="N34" s="119"/>
      <c r="O34" s="119"/>
      <c r="P34" s="119"/>
      <c r="Q34" s="119"/>
      <c r="R34" s="119"/>
    </row>
    <row r="35" spans="2:24" s="9" customFormat="1" ht="38.25" customHeight="1"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"/>
      <c r="X35" s="2"/>
    </row>
    <row r="36" spans="2:24" s="9" customFormat="1" ht="38.25" customHeight="1">
      <c r="B36" s="2"/>
      <c r="C36" s="2"/>
      <c r="D36" s="96"/>
      <c r="E36" s="124"/>
      <c r="F36" s="124"/>
      <c r="G36" s="124"/>
      <c r="H36" s="124"/>
      <c r="I36" s="2"/>
      <c r="J36" s="96"/>
      <c r="K36" s="131"/>
      <c r="L36" s="96"/>
      <c r="M36" s="165"/>
      <c r="N36" s="96"/>
      <c r="O36" s="96"/>
      <c r="P36" s="96"/>
      <c r="Q36" s="96"/>
      <c r="R36" s="96"/>
      <c r="S36" s="2"/>
      <c r="T36" s="2"/>
      <c r="U36" s="96"/>
      <c r="V36" s="2"/>
      <c r="W36" s="2"/>
      <c r="X36" s="2"/>
    </row>
    <row r="37" spans="4:21" s="9" customFormat="1" ht="12.75">
      <c r="D37" s="97"/>
      <c r="E37" s="125"/>
      <c r="F37" s="125"/>
      <c r="G37" s="125"/>
      <c r="H37" s="125"/>
      <c r="J37" s="97"/>
      <c r="K37" s="132"/>
      <c r="L37" s="97"/>
      <c r="M37" s="166"/>
      <c r="N37" s="97"/>
      <c r="O37" s="97"/>
      <c r="P37" s="97"/>
      <c r="Q37" s="97"/>
      <c r="R37" s="97"/>
      <c r="U37" s="97"/>
    </row>
    <row r="38" spans="4:21" s="9" customFormat="1" ht="12.75">
      <c r="D38" s="97"/>
      <c r="E38" s="125"/>
      <c r="F38" s="125"/>
      <c r="G38" s="125"/>
      <c r="H38" s="125"/>
      <c r="J38" s="97"/>
      <c r="K38" s="132"/>
      <c r="L38" s="97"/>
      <c r="M38" s="166"/>
      <c r="N38" s="97"/>
      <c r="O38" s="97"/>
      <c r="P38" s="97"/>
      <c r="Q38" s="97"/>
      <c r="R38" s="97"/>
      <c r="U38" s="97"/>
    </row>
    <row r="39" spans="4:21" s="9" customFormat="1" ht="12.75">
      <c r="D39" s="97"/>
      <c r="E39" s="125"/>
      <c r="F39" s="125"/>
      <c r="G39" s="125"/>
      <c r="H39" s="125"/>
      <c r="J39" s="97"/>
      <c r="K39" s="132"/>
      <c r="L39" s="97"/>
      <c r="M39" s="166"/>
      <c r="N39" s="97"/>
      <c r="O39" s="97"/>
      <c r="P39" s="97"/>
      <c r="Q39" s="97"/>
      <c r="R39" s="97"/>
      <c r="U39" s="97"/>
    </row>
    <row r="40" spans="4:21" s="9" customFormat="1" ht="12.75">
      <c r="D40" s="97"/>
      <c r="E40" s="125"/>
      <c r="F40" s="125"/>
      <c r="G40" s="125"/>
      <c r="H40" s="125"/>
      <c r="J40" s="97"/>
      <c r="K40" s="132"/>
      <c r="L40" s="97"/>
      <c r="M40" s="166"/>
      <c r="N40" s="97"/>
      <c r="O40" s="97"/>
      <c r="P40" s="97"/>
      <c r="Q40" s="97"/>
      <c r="R40" s="97"/>
      <c r="U40" s="97"/>
    </row>
    <row r="45" ht="12.75">
      <c r="X45" s="82"/>
    </row>
  </sheetData>
  <sheetProtection/>
  <mergeCells count="19">
    <mergeCell ref="R4:R5"/>
    <mergeCell ref="X4:X5"/>
    <mergeCell ref="B1:S1"/>
    <mergeCell ref="C4:C5"/>
    <mergeCell ref="D4:D5"/>
    <mergeCell ref="E4:E5"/>
    <mergeCell ref="F4:F5"/>
    <mergeCell ref="G4:G5"/>
    <mergeCell ref="H4:H5"/>
    <mergeCell ref="S6:T6"/>
    <mergeCell ref="B35:V35"/>
    <mergeCell ref="J4:J5"/>
    <mergeCell ref="A2:X2"/>
    <mergeCell ref="U4:U5"/>
    <mergeCell ref="W4:W5"/>
    <mergeCell ref="V4:V5"/>
    <mergeCell ref="I4:I5"/>
    <mergeCell ref="A4:A5"/>
    <mergeCell ref="L4:Q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SheetLayoutView="90" zoomScalePageLayoutView="0" workbookViewId="0" topLeftCell="A1">
      <pane xSplit="2" ySplit="7" topLeftCell="N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" sqref="N5:N6"/>
    </sheetView>
  </sheetViews>
  <sheetFormatPr defaultColWidth="10.421875" defaultRowHeight="12.75"/>
  <cols>
    <col min="1" max="1" width="7.421875" style="11" customWidth="1"/>
    <col min="2" max="2" width="18.8515625" style="11" customWidth="1"/>
    <col min="3" max="3" width="10.57421875" style="11" customWidth="1"/>
    <col min="4" max="4" width="6.140625" style="11" customWidth="1"/>
    <col min="5" max="5" width="6.421875" style="11" customWidth="1"/>
    <col min="6" max="6" width="10.421875" style="11" customWidth="1"/>
    <col min="7" max="9" width="11.00390625" style="11" customWidth="1"/>
    <col min="10" max="11" width="11.00390625" style="11" hidden="1" customWidth="1"/>
    <col min="12" max="16" width="11.00390625" style="11" customWidth="1"/>
    <col min="17" max="17" width="11.00390625" style="11" hidden="1" customWidth="1"/>
    <col min="18" max="18" width="7.8515625" style="11" hidden="1" customWidth="1"/>
    <col min="19" max="19" width="8.57421875" style="11" hidden="1" customWidth="1"/>
    <col min="20" max="20" width="11.00390625" style="11" customWidth="1"/>
    <col min="21" max="21" width="9.00390625" style="11" hidden="1" customWidth="1"/>
    <col min="22" max="22" width="8.421875" style="11" hidden="1" customWidth="1"/>
    <col min="23" max="24" width="11.00390625" style="11" customWidth="1"/>
    <col min="25" max="25" width="9.57421875" style="11" customWidth="1"/>
    <col min="26" max="26" width="10.8515625" style="11" customWidth="1"/>
    <col min="27" max="28" width="8.8515625" style="11" customWidth="1"/>
    <col min="29" max="29" width="9.00390625" style="11" customWidth="1"/>
    <col min="30" max="30" width="7.421875" style="11" customWidth="1"/>
    <col min="31" max="31" width="7.7109375" style="11" customWidth="1"/>
    <col min="32" max="36" width="7.8515625" style="19" customWidth="1"/>
    <col min="37" max="40" width="7.57421875" style="11" customWidth="1"/>
    <col min="41" max="41" width="9.140625" style="11" customWidth="1"/>
    <col min="42" max="42" width="8.00390625" style="11" customWidth="1"/>
    <col min="43" max="243" width="9.140625" style="11" customWidth="1"/>
    <col min="244" max="244" width="7.421875" style="11" customWidth="1"/>
    <col min="245" max="245" width="16.8515625" style="11" customWidth="1"/>
    <col min="246" max="246" width="25.421875" style="11" customWidth="1"/>
    <col min="247" max="247" width="10.7109375" style="11" customWidth="1"/>
    <col min="248" max="248" width="9.140625" style="11" customWidth="1"/>
    <col min="249" max="249" width="9.28125" style="11" customWidth="1"/>
    <col min="250" max="252" width="10.421875" style="11" customWidth="1"/>
    <col min="253" max="255" width="10.421875" style="11" hidden="1" customWidth="1"/>
    <col min="256" max="16384" width="10.421875" style="11" customWidth="1"/>
  </cols>
  <sheetData>
    <row r="1" spans="1:40" ht="18.75">
      <c r="A1" s="276" t="s">
        <v>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8"/>
      <c r="AF1" s="10"/>
      <c r="AG1" s="10"/>
      <c r="AH1" s="10"/>
      <c r="AI1" s="10"/>
      <c r="AJ1" s="10"/>
      <c r="AK1" s="12"/>
      <c r="AL1" s="12"/>
      <c r="AM1" s="12"/>
      <c r="AN1" s="12"/>
    </row>
    <row r="2" spans="1:40" ht="21" customHeight="1">
      <c r="A2" s="8"/>
      <c r="B2" s="276" t="s">
        <v>41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8"/>
      <c r="Y2" s="8"/>
      <c r="Z2" s="8"/>
      <c r="AA2" s="8"/>
      <c r="AB2" s="8"/>
      <c r="AC2" s="8"/>
      <c r="AD2" s="8"/>
      <c r="AE2" s="8"/>
      <c r="AK2" s="12"/>
      <c r="AL2" s="12"/>
      <c r="AM2" s="12"/>
      <c r="AN2" s="12"/>
    </row>
    <row r="3" spans="1:40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6"/>
      <c r="AE3" s="26"/>
      <c r="AF3" s="10" t="s">
        <v>0</v>
      </c>
      <c r="AG3" s="10"/>
      <c r="AH3" s="10"/>
      <c r="AI3" s="10"/>
      <c r="AJ3" s="10"/>
      <c r="AK3" s="12"/>
      <c r="AL3" s="12"/>
      <c r="AM3" s="12"/>
      <c r="AN3" s="12"/>
    </row>
    <row r="4" spans="1:36" ht="18.75" customHeight="1">
      <c r="A4" s="317" t="s">
        <v>1</v>
      </c>
      <c r="B4" s="280" t="s">
        <v>2</v>
      </c>
      <c r="C4" s="59"/>
      <c r="D4" s="59"/>
      <c r="E4" s="59"/>
      <c r="F4" s="59"/>
      <c r="G4" s="329" t="s">
        <v>3</v>
      </c>
      <c r="H4" s="330"/>
      <c r="I4" s="330"/>
      <c r="J4" s="330"/>
      <c r="K4" s="330"/>
      <c r="L4" s="330"/>
      <c r="M4" s="330"/>
      <c r="N4" s="330"/>
      <c r="O4" s="329" t="s">
        <v>4</v>
      </c>
      <c r="P4" s="330"/>
      <c r="Q4" s="330"/>
      <c r="R4" s="330"/>
      <c r="S4" s="330"/>
      <c r="T4" s="330"/>
      <c r="U4" s="330"/>
      <c r="V4" s="330"/>
      <c r="W4" s="330"/>
      <c r="X4" s="330"/>
      <c r="Y4" s="56"/>
      <c r="Z4" s="56"/>
      <c r="AA4" s="56"/>
      <c r="AB4" s="56"/>
      <c r="AC4" s="56"/>
      <c r="AD4" s="280" t="s">
        <v>52</v>
      </c>
      <c r="AE4" s="6"/>
      <c r="AF4" s="317" t="s">
        <v>5</v>
      </c>
      <c r="AG4" s="80"/>
      <c r="AH4" s="80"/>
      <c r="AI4" s="80"/>
      <c r="AJ4" s="80"/>
    </row>
    <row r="5" spans="1:36" ht="21" customHeight="1">
      <c r="A5" s="327"/>
      <c r="B5" s="328"/>
      <c r="C5" s="45"/>
      <c r="D5" s="45"/>
      <c r="E5" s="45"/>
      <c r="F5" s="45"/>
      <c r="G5" s="280" t="s">
        <v>43</v>
      </c>
      <c r="H5" s="317" t="s">
        <v>6</v>
      </c>
      <c r="I5" s="317" t="s">
        <v>44</v>
      </c>
      <c r="J5" s="27"/>
      <c r="K5" s="27"/>
      <c r="L5" s="317" t="s">
        <v>36</v>
      </c>
      <c r="M5" s="317" t="s">
        <v>7</v>
      </c>
      <c r="N5" s="317" t="s">
        <v>8</v>
      </c>
      <c r="O5" s="280" t="s">
        <v>45</v>
      </c>
      <c r="P5" s="317" t="s">
        <v>9</v>
      </c>
      <c r="Q5" s="27"/>
      <c r="R5" s="27"/>
      <c r="S5" s="27"/>
      <c r="T5" s="317" t="s">
        <v>10</v>
      </c>
      <c r="U5" s="27"/>
      <c r="V5" s="27"/>
      <c r="W5" s="317" t="s">
        <v>36</v>
      </c>
      <c r="X5" s="317" t="s">
        <v>11</v>
      </c>
      <c r="Y5" s="44"/>
      <c r="Z5" s="44"/>
      <c r="AA5" s="44"/>
      <c r="AB5" s="44"/>
      <c r="AC5" s="44"/>
      <c r="AD5" s="328"/>
      <c r="AE5" s="45"/>
      <c r="AF5" s="327"/>
      <c r="AG5" s="80"/>
      <c r="AH5" s="80"/>
      <c r="AI5" s="80"/>
      <c r="AJ5" s="80"/>
    </row>
    <row r="6" spans="1:42" ht="63" customHeight="1">
      <c r="A6" s="318"/>
      <c r="B6" s="281"/>
      <c r="C6" s="5" t="s">
        <v>46</v>
      </c>
      <c r="D6" s="5"/>
      <c r="E6" s="5"/>
      <c r="F6" s="5" t="s">
        <v>47</v>
      </c>
      <c r="G6" s="281"/>
      <c r="H6" s="318"/>
      <c r="I6" s="318"/>
      <c r="J6" s="28"/>
      <c r="K6" s="28"/>
      <c r="L6" s="318"/>
      <c r="M6" s="318"/>
      <c r="N6" s="318"/>
      <c r="O6" s="281"/>
      <c r="P6" s="318"/>
      <c r="Q6" s="28"/>
      <c r="R6" s="28"/>
      <c r="S6" s="28"/>
      <c r="T6" s="318"/>
      <c r="U6" s="28"/>
      <c r="V6" s="28"/>
      <c r="W6" s="318"/>
      <c r="X6" s="318"/>
      <c r="Y6" s="5" t="s">
        <v>49</v>
      </c>
      <c r="Z6" s="5" t="s">
        <v>48</v>
      </c>
      <c r="AA6" s="5" t="s">
        <v>50</v>
      </c>
      <c r="AB6" s="5" t="s">
        <v>51</v>
      </c>
      <c r="AC6" s="28"/>
      <c r="AD6" s="281"/>
      <c r="AE6" s="67"/>
      <c r="AF6" s="318"/>
      <c r="AG6" s="80"/>
      <c r="AH6" s="80"/>
      <c r="AI6" s="80"/>
      <c r="AJ6" s="80"/>
      <c r="AK6" s="77" t="s">
        <v>53</v>
      </c>
      <c r="AL6" s="77"/>
      <c r="AM6" s="77"/>
      <c r="AN6" s="77"/>
      <c r="AO6" s="11" t="s">
        <v>54</v>
      </c>
      <c r="AP6" s="11" t="s">
        <v>55</v>
      </c>
    </row>
    <row r="7" spans="1:36" s="15" customFormat="1" ht="21.75" customHeight="1">
      <c r="A7" s="13">
        <v>1</v>
      </c>
      <c r="B7" s="13">
        <v>2</v>
      </c>
      <c r="C7" s="13"/>
      <c r="D7" s="13"/>
      <c r="E7" s="13"/>
      <c r="F7" s="13"/>
      <c r="G7" s="14" t="s">
        <v>37</v>
      </c>
      <c r="H7" s="13">
        <v>4</v>
      </c>
      <c r="I7" s="13">
        <v>5</v>
      </c>
      <c r="J7" s="13"/>
      <c r="K7" s="13"/>
      <c r="L7" s="13">
        <v>6</v>
      </c>
      <c r="M7" s="13">
        <v>7</v>
      </c>
      <c r="N7" s="13">
        <v>8</v>
      </c>
      <c r="O7" s="14" t="s">
        <v>38</v>
      </c>
      <c r="P7" s="13">
        <v>10</v>
      </c>
      <c r="Q7" s="13"/>
      <c r="R7" s="13"/>
      <c r="S7" s="13"/>
      <c r="T7" s="13">
        <v>11</v>
      </c>
      <c r="U7" s="13"/>
      <c r="V7" s="13"/>
      <c r="W7" s="13">
        <v>12</v>
      </c>
      <c r="X7" s="13">
        <v>13</v>
      </c>
      <c r="Y7" s="13"/>
      <c r="Z7" s="13"/>
      <c r="AA7" s="13"/>
      <c r="AB7" s="13"/>
      <c r="AC7" s="13"/>
      <c r="AD7" s="14"/>
      <c r="AE7" s="14"/>
      <c r="AF7" s="13" t="s">
        <v>39</v>
      </c>
      <c r="AG7" s="81"/>
      <c r="AH7" s="81"/>
      <c r="AI7" s="81"/>
      <c r="AJ7" s="81"/>
    </row>
    <row r="8" spans="1:43" ht="15.75" customHeight="1">
      <c r="A8" s="20">
        <v>2</v>
      </c>
      <c r="B8" s="16" t="s">
        <v>13</v>
      </c>
      <c r="C8" s="57">
        <v>695</v>
      </c>
      <c r="D8" s="68">
        <f>C8/C32</f>
        <v>0.02586912826621008</v>
      </c>
      <c r="E8" s="62">
        <f>F8/G8</f>
        <v>0.03501006568964135</v>
      </c>
      <c r="F8">
        <v>284.1</v>
      </c>
      <c r="G8" s="21">
        <f>H8+I8+L8+M8-N8</f>
        <v>8114.809109999998</v>
      </c>
      <c r="H8" s="43">
        <v>1505.9</v>
      </c>
      <c r="I8" s="35">
        <v>9313.20911</v>
      </c>
      <c r="J8" s="21"/>
      <c r="K8" s="21"/>
      <c r="L8" s="43">
        <v>50</v>
      </c>
      <c r="M8" s="46">
        <v>79.8</v>
      </c>
      <c r="N8" s="42">
        <v>2834.1</v>
      </c>
      <c r="O8" s="21">
        <f>P8+T8+W8+X8</f>
        <v>12489.3</v>
      </c>
      <c r="P8" s="42">
        <v>2834.1</v>
      </c>
      <c r="Q8" s="36">
        <v>3902</v>
      </c>
      <c r="R8" s="37">
        <v>470</v>
      </c>
      <c r="S8" s="36">
        <f>5585-351.7</f>
        <v>5233.3</v>
      </c>
      <c r="T8" s="35">
        <f>Q8+R8+S8</f>
        <v>9605.3</v>
      </c>
      <c r="U8" s="31">
        <v>49.9</v>
      </c>
      <c r="V8" s="32">
        <v>0</v>
      </c>
      <c r="W8" s="35">
        <f>U8+V8</f>
        <v>49.9</v>
      </c>
      <c r="X8" s="29">
        <v>0</v>
      </c>
      <c r="Y8" s="60">
        <v>2850.7</v>
      </c>
      <c r="Z8" s="60">
        <v>368.4</v>
      </c>
      <c r="AA8" s="69">
        <v>78.7</v>
      </c>
      <c r="AB8" s="72">
        <f aca="true" t="shared" si="0" ref="AB8:AB31">Y8+Z8+AA8</f>
        <v>3297.7999999999997</v>
      </c>
      <c r="AC8" s="62">
        <f aca="true" t="shared" si="1" ref="AC8:AC31">AB8/O8</f>
        <v>0.26405002682296047</v>
      </c>
      <c r="AD8" s="57">
        <v>691</v>
      </c>
      <c r="AE8" s="73">
        <f aca="true" t="shared" si="2" ref="AE8:AE31">Z8/O8</f>
        <v>0.029497249645696718</v>
      </c>
      <c r="AF8" s="22"/>
      <c r="AG8" s="82"/>
      <c r="AH8" s="82"/>
      <c r="AI8" s="22">
        <f aca="true" t="shared" si="3" ref="AI8:AI32">+O8/AD8</f>
        <v>18.07424023154848</v>
      </c>
      <c r="AJ8" s="82"/>
      <c r="AK8" s="76">
        <f>AD8/26603</f>
        <v>0.025974514152539187</v>
      </c>
      <c r="AL8" s="76"/>
      <c r="AM8" s="76"/>
      <c r="AN8" s="76"/>
      <c r="AO8" s="76">
        <f>Z8/8568</f>
        <v>0.04299719887955182</v>
      </c>
      <c r="AP8" s="76">
        <f>O8/159284</f>
        <v>0.07840900529871173</v>
      </c>
      <c r="AQ8" s="76">
        <f>AO8/AP8*AK8</f>
        <v>0.014243661765146898</v>
      </c>
    </row>
    <row r="9" spans="1:43" ht="15.75" customHeight="1">
      <c r="A9" s="20">
        <v>3</v>
      </c>
      <c r="B9" s="16" t="s">
        <v>14</v>
      </c>
      <c r="C9" s="58">
        <v>1222</v>
      </c>
      <c r="D9" s="68">
        <f>C9/C32</f>
        <v>0.045484999627782324</v>
      </c>
      <c r="E9" s="62">
        <f aca="true" t="shared" si="4" ref="E9:E31">F9/G9</f>
        <v>0.04791810466672088</v>
      </c>
      <c r="F9">
        <v>548.4</v>
      </c>
      <c r="G9" s="21">
        <f aca="true" t="shared" si="5" ref="G9:G31">H9+I9+L9+M9-N9</f>
        <v>11444.526109999999</v>
      </c>
      <c r="H9" s="43">
        <v>3403.9</v>
      </c>
      <c r="I9" s="35">
        <v>10732.82611</v>
      </c>
      <c r="J9" s="21"/>
      <c r="K9" s="21"/>
      <c r="L9" s="43">
        <v>88</v>
      </c>
      <c r="M9" s="46">
        <v>103.3</v>
      </c>
      <c r="N9" s="42">
        <v>2883.5</v>
      </c>
      <c r="O9" s="21">
        <f aca="true" t="shared" si="6" ref="O9:O31">P9+T9+W9+X9</f>
        <v>14433.9</v>
      </c>
      <c r="P9" s="42">
        <v>2883.5</v>
      </c>
      <c r="Q9" s="36">
        <v>9720</v>
      </c>
      <c r="R9" s="37">
        <v>590</v>
      </c>
      <c r="S9" s="36">
        <f>1254-293.1</f>
        <v>960.9</v>
      </c>
      <c r="T9" s="35">
        <f aca="true" t="shared" si="7" ref="T9:T31">Q9+R9+S9</f>
        <v>11270.9</v>
      </c>
      <c r="U9" s="31">
        <v>90.5</v>
      </c>
      <c r="V9" s="32">
        <v>0</v>
      </c>
      <c r="W9" s="35">
        <f aca="true" t="shared" si="8" ref="W9:W31">U9+V9</f>
        <v>90.5</v>
      </c>
      <c r="X9" s="29">
        <v>189</v>
      </c>
      <c r="Y9" s="60">
        <v>4913.9</v>
      </c>
      <c r="Z9" s="60">
        <v>764</v>
      </c>
      <c r="AA9" s="70"/>
      <c r="AB9" s="72">
        <f t="shared" si="0"/>
        <v>5677.9</v>
      </c>
      <c r="AC9" s="62">
        <f t="shared" si="1"/>
        <v>0.3933725465743839</v>
      </c>
      <c r="AD9" s="58">
        <v>1254</v>
      </c>
      <c r="AE9" s="73">
        <f t="shared" si="2"/>
        <v>0.052930947283824886</v>
      </c>
      <c r="AF9" s="22"/>
      <c r="AG9" s="82"/>
      <c r="AH9" s="82"/>
      <c r="AI9" s="22">
        <f t="shared" si="3"/>
        <v>11.510287081339712</v>
      </c>
      <c r="AJ9" s="82"/>
      <c r="AK9" s="76">
        <f>AD9/26603</f>
        <v>0.04713754087884825</v>
      </c>
      <c r="AL9" s="76"/>
      <c r="AM9" s="76"/>
      <c r="AN9" s="76"/>
      <c r="AO9" s="76">
        <f aca="true" t="shared" si="9" ref="AO9:AO31">Z9/8568</f>
        <v>0.08916900093370682</v>
      </c>
      <c r="AP9" s="76">
        <f aca="true" t="shared" si="10" ref="AP9:AP31">O9/159284</f>
        <v>0.09061738781045177</v>
      </c>
      <c r="AQ9" s="76">
        <f aca="true" t="shared" si="11" ref="AQ9:AQ31">AO9/AP9*AK9</f>
        <v>0.04638411598699678</v>
      </c>
    </row>
    <row r="10" spans="1:43" ht="15.75" customHeight="1">
      <c r="A10" s="20">
        <v>4</v>
      </c>
      <c r="B10" s="16" t="s">
        <v>15</v>
      </c>
      <c r="C10" s="58">
        <v>286</v>
      </c>
      <c r="D10" s="68">
        <f>C10/C32</f>
        <v>0.010645425444800119</v>
      </c>
      <c r="E10" s="62">
        <f t="shared" si="4"/>
        <v>0.005116293707721708</v>
      </c>
      <c r="F10">
        <v>8</v>
      </c>
      <c r="G10" s="21">
        <f t="shared" si="5"/>
        <v>1563.6318899999997</v>
      </c>
      <c r="H10" s="43">
        <v>345.6</v>
      </c>
      <c r="I10" s="35">
        <v>138.73189000000002</v>
      </c>
      <c r="J10" s="21"/>
      <c r="K10" s="21"/>
      <c r="L10" s="43">
        <v>909</v>
      </c>
      <c r="M10" s="46">
        <v>663.3</v>
      </c>
      <c r="N10" s="42">
        <v>493</v>
      </c>
      <c r="O10" s="21">
        <f t="shared" si="6"/>
        <v>2118.8</v>
      </c>
      <c r="P10" s="42">
        <v>493</v>
      </c>
      <c r="Q10" s="36">
        <v>126</v>
      </c>
      <c r="R10" s="37">
        <v>3</v>
      </c>
      <c r="S10" s="36">
        <f>245-234.4</f>
        <v>10.599999999999994</v>
      </c>
      <c r="T10" s="35">
        <f t="shared" si="7"/>
        <v>139.6</v>
      </c>
      <c r="U10" s="31">
        <v>660.8</v>
      </c>
      <c r="V10" s="32">
        <v>269</v>
      </c>
      <c r="W10" s="35">
        <f t="shared" si="8"/>
        <v>929.8</v>
      </c>
      <c r="X10" s="29">
        <v>556.4</v>
      </c>
      <c r="Y10" s="60">
        <v>1065.2</v>
      </c>
      <c r="Z10" s="60">
        <v>279.8</v>
      </c>
      <c r="AA10" s="70"/>
      <c r="AB10" s="72">
        <f t="shared" si="0"/>
        <v>1345</v>
      </c>
      <c r="AC10" s="62">
        <f t="shared" si="1"/>
        <v>0.6347932792146498</v>
      </c>
      <c r="AD10" s="58">
        <v>292</v>
      </c>
      <c r="AE10" s="73">
        <f t="shared" si="2"/>
        <v>0.1320558806871814</v>
      </c>
      <c r="AF10" s="22"/>
      <c r="AG10" s="82"/>
      <c r="AH10" s="82"/>
      <c r="AI10" s="22">
        <f t="shared" si="3"/>
        <v>7.256164383561645</v>
      </c>
      <c r="AJ10" s="82"/>
      <c r="AK10" s="76">
        <f aca="true" t="shared" si="12" ref="AK10:AK31">AD10/26603</f>
        <v>0.010976205691087471</v>
      </c>
      <c r="AL10" s="76"/>
      <c r="AM10" s="76"/>
      <c r="AN10" s="76"/>
      <c r="AO10" s="76">
        <f t="shared" si="9"/>
        <v>0.03265639589169001</v>
      </c>
      <c r="AP10" s="76">
        <f t="shared" si="10"/>
        <v>0.01330202656889581</v>
      </c>
      <c r="AQ10" s="76">
        <f t="shared" si="11"/>
        <v>0.02694651950815698</v>
      </c>
    </row>
    <row r="11" spans="1:43" s="55" customFormat="1" ht="15.75" customHeight="1">
      <c r="A11" s="48">
        <v>4</v>
      </c>
      <c r="B11" s="49" t="s">
        <v>16</v>
      </c>
      <c r="C11" s="74">
        <v>1112</v>
      </c>
      <c r="D11" s="78">
        <f>C11/C32</f>
        <v>0.04139060522593613</v>
      </c>
      <c r="E11" s="75">
        <f t="shared" si="4"/>
        <v>0.20001912406706104</v>
      </c>
      <c r="F11" s="64">
        <v>882.7</v>
      </c>
      <c r="G11" s="50">
        <f t="shared" si="5"/>
        <v>4413.07802</v>
      </c>
      <c r="H11" s="51">
        <v>187.1</v>
      </c>
      <c r="I11" s="50">
        <v>766.6780200000001</v>
      </c>
      <c r="J11" s="50"/>
      <c r="K11" s="50"/>
      <c r="L11" s="51">
        <v>2010</v>
      </c>
      <c r="M11" s="52">
        <v>1469.9</v>
      </c>
      <c r="N11" s="53">
        <v>20.6</v>
      </c>
      <c r="O11" s="50">
        <f t="shared" si="6"/>
        <v>4334.9</v>
      </c>
      <c r="P11" s="53">
        <v>20.6</v>
      </c>
      <c r="Q11" s="38">
        <v>420</v>
      </c>
      <c r="R11" s="39">
        <v>54</v>
      </c>
      <c r="S11" s="38">
        <f>885-644.8</f>
        <v>240.20000000000005</v>
      </c>
      <c r="T11" s="50">
        <f t="shared" si="7"/>
        <v>714.2</v>
      </c>
      <c r="U11" s="33">
        <v>1622.7</v>
      </c>
      <c r="V11" s="34">
        <v>369</v>
      </c>
      <c r="W11" s="50">
        <f t="shared" si="8"/>
        <v>1991.7</v>
      </c>
      <c r="X11" s="54">
        <v>1608.4</v>
      </c>
      <c r="Y11" s="61">
        <v>2498.2</v>
      </c>
      <c r="Z11" s="61">
        <v>831.8</v>
      </c>
      <c r="AA11" s="71">
        <v>203</v>
      </c>
      <c r="AB11" s="65">
        <f t="shared" si="0"/>
        <v>3533</v>
      </c>
      <c r="AC11" s="75">
        <f t="shared" si="1"/>
        <v>0.8150130337493369</v>
      </c>
      <c r="AD11" s="74">
        <v>1119</v>
      </c>
      <c r="AE11" s="66">
        <f t="shared" si="2"/>
        <v>0.19188447253685206</v>
      </c>
      <c r="AF11" s="66">
        <v>0.192</v>
      </c>
      <c r="AG11" s="89">
        <f>+AG14/AF14*AF11</f>
        <v>323.92638036809814</v>
      </c>
      <c r="AH11" s="83">
        <f>AF11/AF32</f>
        <v>0.294478527607362</v>
      </c>
      <c r="AI11" s="22">
        <f t="shared" si="3"/>
        <v>3.8739052725647896</v>
      </c>
      <c r="AJ11" s="83">
        <f>550*AH11</f>
        <v>161.9631901840491</v>
      </c>
      <c r="AK11" s="79">
        <f t="shared" si="12"/>
        <v>0.042062925233996164</v>
      </c>
      <c r="AL11" s="79">
        <f>AF11/AK11</f>
        <v>4.56458981233244</v>
      </c>
      <c r="AM11" s="79">
        <f>AL11/AL14</f>
        <v>0.5103548267011502</v>
      </c>
      <c r="AN11" s="79">
        <f>550*AM11</f>
        <v>280.6951546856326</v>
      </c>
      <c r="AO11" s="79">
        <f t="shared" si="9"/>
        <v>0.09708216619981325</v>
      </c>
      <c r="AP11" s="79">
        <f t="shared" si="10"/>
        <v>0.02721491172999171</v>
      </c>
      <c r="AQ11" s="76">
        <f t="shared" si="11"/>
        <v>0.1500486181594673</v>
      </c>
    </row>
    <row r="12" spans="1:43" ht="15.75" customHeight="1">
      <c r="A12" s="20">
        <v>4</v>
      </c>
      <c r="B12" s="16" t="s">
        <v>17</v>
      </c>
      <c r="C12" s="58">
        <v>1910</v>
      </c>
      <c r="D12" s="68">
        <f>C11/C32</f>
        <v>0.04139060522593613</v>
      </c>
      <c r="E12" s="62">
        <f t="shared" si="4"/>
        <v>0.020520134691166286</v>
      </c>
      <c r="F12">
        <v>136.9</v>
      </c>
      <c r="G12" s="21">
        <f t="shared" si="5"/>
        <v>6671.496169999999</v>
      </c>
      <c r="H12" s="43">
        <v>563.4</v>
      </c>
      <c r="I12" s="35">
        <v>2095.1961699999997</v>
      </c>
      <c r="J12" s="21"/>
      <c r="K12" s="21"/>
      <c r="L12" s="43">
        <v>2302</v>
      </c>
      <c r="M12" s="46">
        <v>1886.1</v>
      </c>
      <c r="N12" s="42">
        <v>175.2</v>
      </c>
      <c r="O12" s="21">
        <f t="shared" si="6"/>
        <v>5385</v>
      </c>
      <c r="P12" s="42">
        <v>175.2</v>
      </c>
      <c r="Q12" s="36">
        <v>1601</v>
      </c>
      <c r="R12" s="37">
        <v>137</v>
      </c>
      <c r="S12" s="36">
        <f>1379-1172.4</f>
        <v>206.5999999999999</v>
      </c>
      <c r="T12" s="35">
        <f t="shared" si="7"/>
        <v>1944.6</v>
      </c>
      <c r="U12" s="31">
        <v>1094.8</v>
      </c>
      <c r="V12" s="32">
        <v>843</v>
      </c>
      <c r="W12" s="35">
        <f t="shared" si="8"/>
        <v>1937.8</v>
      </c>
      <c r="X12" s="29">
        <v>1327.4</v>
      </c>
      <c r="Y12" s="60">
        <v>4084.1</v>
      </c>
      <c r="Z12" s="60">
        <v>135.7</v>
      </c>
      <c r="AA12" s="69">
        <v>78.7</v>
      </c>
      <c r="AB12" s="72">
        <f t="shared" si="0"/>
        <v>4298.5</v>
      </c>
      <c r="AC12" s="62">
        <f t="shared" si="1"/>
        <v>0.7982358402971216</v>
      </c>
      <c r="AD12" s="58">
        <v>1882</v>
      </c>
      <c r="AE12" s="73">
        <f t="shared" si="2"/>
        <v>0.025199628597957286</v>
      </c>
      <c r="AF12" s="73"/>
      <c r="AG12" s="84"/>
      <c r="AH12" s="84"/>
      <c r="AI12" s="22">
        <f t="shared" si="3"/>
        <v>2.8613177470775772</v>
      </c>
      <c r="AJ12" s="84"/>
      <c r="AK12" s="76">
        <f t="shared" si="12"/>
        <v>0.0707439010637898</v>
      </c>
      <c r="AL12" s="87"/>
      <c r="AM12" s="76"/>
      <c r="AN12" s="76"/>
      <c r="AO12" s="76">
        <f t="shared" si="9"/>
        <v>0.01583800186741363</v>
      </c>
      <c r="AP12" s="76">
        <f t="shared" si="10"/>
        <v>0.0338075387358429</v>
      </c>
      <c r="AQ12" s="76">
        <f t="shared" si="11"/>
        <v>0.033141780769995265</v>
      </c>
    </row>
    <row r="13" spans="1:43" s="55" customFormat="1" ht="15.75" customHeight="1">
      <c r="A13" s="48">
        <v>4</v>
      </c>
      <c r="B13" s="49" t="s">
        <v>18</v>
      </c>
      <c r="C13" s="74">
        <v>832</v>
      </c>
      <c r="D13" s="78">
        <f>C13/C32</f>
        <v>0.030968510384873072</v>
      </c>
      <c r="E13" s="75">
        <f t="shared" si="4"/>
        <v>0.2324459141945126</v>
      </c>
      <c r="F13" s="64">
        <v>1132.7</v>
      </c>
      <c r="G13" s="50">
        <f t="shared" si="5"/>
        <v>4872.96154</v>
      </c>
      <c r="H13" s="51">
        <v>159.5</v>
      </c>
      <c r="I13" s="50">
        <v>461.46153999999996</v>
      </c>
      <c r="J13" s="50"/>
      <c r="K13" s="50"/>
      <c r="L13" s="51">
        <v>1731</v>
      </c>
      <c r="M13" s="52">
        <v>2545.3</v>
      </c>
      <c r="N13" s="53">
        <v>24.3</v>
      </c>
      <c r="O13" s="50">
        <f t="shared" si="6"/>
        <v>4583.3</v>
      </c>
      <c r="P13" s="53">
        <v>24.3</v>
      </c>
      <c r="Q13" s="38">
        <v>220</v>
      </c>
      <c r="R13" s="39">
        <v>21</v>
      </c>
      <c r="S13" s="38">
        <f>583-351.7</f>
        <v>231.3</v>
      </c>
      <c r="T13" s="50">
        <f t="shared" si="7"/>
        <v>472.3</v>
      </c>
      <c r="U13" s="33">
        <v>1333.8</v>
      </c>
      <c r="V13" s="34">
        <v>458</v>
      </c>
      <c r="W13" s="50">
        <f t="shared" si="8"/>
        <v>1791.8</v>
      </c>
      <c r="X13" s="54">
        <v>2294.9</v>
      </c>
      <c r="Y13" s="61">
        <v>3046.1</v>
      </c>
      <c r="Z13" s="61">
        <v>613</v>
      </c>
      <c r="AA13" s="54">
        <v>78.7</v>
      </c>
      <c r="AB13" s="65">
        <f t="shared" si="0"/>
        <v>3737.7999999999997</v>
      </c>
      <c r="AC13" s="75">
        <f t="shared" si="1"/>
        <v>0.8155259310976806</v>
      </c>
      <c r="AD13" s="74">
        <v>814</v>
      </c>
      <c r="AE13" s="66">
        <f t="shared" si="2"/>
        <v>0.1337464272467436</v>
      </c>
      <c r="AF13" s="66">
        <v>0.134</v>
      </c>
      <c r="AG13" s="89">
        <f>+AG14/AF14*AF13</f>
        <v>226.07361963190183</v>
      </c>
      <c r="AH13" s="83">
        <f>AF13/AF32</f>
        <v>0.20552147239263804</v>
      </c>
      <c r="AI13" s="22">
        <f t="shared" si="3"/>
        <v>5.630589680589681</v>
      </c>
      <c r="AJ13" s="83">
        <f>550*AH13</f>
        <v>113.03680981595092</v>
      </c>
      <c r="AK13" s="79">
        <f t="shared" si="12"/>
        <v>0.030598052851182198</v>
      </c>
      <c r="AL13" s="79">
        <f>AF13/AK13</f>
        <v>4.379363636363636</v>
      </c>
      <c r="AM13" s="79">
        <f>AL13/AL14</f>
        <v>0.4896451732988499</v>
      </c>
      <c r="AN13" s="79">
        <f>550*AM13</f>
        <v>269.3048453143674</v>
      </c>
      <c r="AO13" s="79">
        <f t="shared" si="9"/>
        <v>0.0715452847805789</v>
      </c>
      <c r="AP13" s="79">
        <f t="shared" si="10"/>
        <v>0.028774390397026697</v>
      </c>
      <c r="AQ13" s="76">
        <f t="shared" si="11"/>
        <v>0.07607967970001694</v>
      </c>
    </row>
    <row r="14" spans="1:43" ht="15.75" customHeight="1">
      <c r="A14" s="20">
        <v>4</v>
      </c>
      <c r="B14" s="16" t="s">
        <v>12</v>
      </c>
      <c r="C14" s="58">
        <v>860</v>
      </c>
      <c r="D14" s="68">
        <f>C14/C32</f>
        <v>0.03201071986897938</v>
      </c>
      <c r="E14" s="62">
        <f t="shared" si="4"/>
        <v>0.05731180729142804</v>
      </c>
      <c r="F14">
        <v>240.8</v>
      </c>
      <c r="G14" s="21">
        <f t="shared" si="5"/>
        <v>4201.5775</v>
      </c>
      <c r="H14" s="43">
        <v>564.2</v>
      </c>
      <c r="I14" s="35">
        <v>442.7775</v>
      </c>
      <c r="J14" s="21"/>
      <c r="K14" s="21"/>
      <c r="L14" s="43">
        <v>1714</v>
      </c>
      <c r="M14" s="46">
        <v>1663</v>
      </c>
      <c r="N14" s="42">
        <v>182.4</v>
      </c>
      <c r="O14" s="21">
        <f t="shared" si="6"/>
        <v>3434.6000000000004</v>
      </c>
      <c r="P14" s="42">
        <v>182.4</v>
      </c>
      <c r="Q14" s="36">
        <v>191</v>
      </c>
      <c r="R14" s="37">
        <v>55</v>
      </c>
      <c r="S14" s="36">
        <f>812-644.8</f>
        <v>167.20000000000005</v>
      </c>
      <c r="T14" s="35">
        <f t="shared" si="7"/>
        <v>413.20000000000005</v>
      </c>
      <c r="U14" s="31">
        <v>1142.3</v>
      </c>
      <c r="V14" s="32">
        <v>569</v>
      </c>
      <c r="W14" s="35">
        <f t="shared" si="8"/>
        <v>1711.3</v>
      </c>
      <c r="X14" s="29">
        <v>1127.7</v>
      </c>
      <c r="Y14" s="60">
        <v>2404.7</v>
      </c>
      <c r="Z14" s="60">
        <v>183.8</v>
      </c>
      <c r="AA14" s="70"/>
      <c r="AB14" s="72">
        <f t="shared" si="0"/>
        <v>2588.5</v>
      </c>
      <c r="AC14" s="62">
        <f t="shared" si="1"/>
        <v>0.7536539917312058</v>
      </c>
      <c r="AD14" s="58">
        <v>844</v>
      </c>
      <c r="AE14" s="73">
        <f t="shared" si="2"/>
        <v>0.053514237465789316</v>
      </c>
      <c r="AF14" s="22">
        <f>SUM(AF11:AF13)</f>
        <v>0.326</v>
      </c>
      <c r="AG14" s="82">
        <v>550</v>
      </c>
      <c r="AH14" s="82"/>
      <c r="AI14" s="22">
        <f t="shared" si="3"/>
        <v>4.069431279620853</v>
      </c>
      <c r="AJ14" s="82"/>
      <c r="AK14" s="76">
        <f t="shared" si="12"/>
        <v>0.03172574521670488</v>
      </c>
      <c r="AL14" s="76">
        <f>SUM(AL11:AL13)</f>
        <v>8.943953448696076</v>
      </c>
      <c r="AM14" s="76"/>
      <c r="AN14" s="76"/>
      <c r="AO14" s="76">
        <f t="shared" si="9"/>
        <v>0.021451914098972923</v>
      </c>
      <c r="AP14" s="76">
        <f t="shared" si="10"/>
        <v>0.021562743276160822</v>
      </c>
      <c r="AQ14" s="76">
        <f t="shared" si="11"/>
        <v>0.03156267977586519</v>
      </c>
    </row>
    <row r="15" spans="1:43" ht="15.75" customHeight="1">
      <c r="A15" s="20">
        <v>1</v>
      </c>
      <c r="B15" s="16" t="s">
        <v>19</v>
      </c>
      <c r="C15" s="58">
        <v>1482</v>
      </c>
      <c r="D15" s="68">
        <f>C15/C32</f>
        <v>0.055162659123055166</v>
      </c>
      <c r="E15" s="62">
        <f t="shared" si="4"/>
        <v>0.05126005804741275</v>
      </c>
      <c r="F15">
        <v>772.3</v>
      </c>
      <c r="G15" s="21">
        <f t="shared" si="5"/>
        <v>15066.31146</v>
      </c>
      <c r="H15" s="43">
        <v>5297.5</v>
      </c>
      <c r="I15" s="35">
        <v>23168.61146</v>
      </c>
      <c r="J15" s="21"/>
      <c r="K15" s="21"/>
      <c r="L15" s="43">
        <v>328</v>
      </c>
      <c r="M15" s="46">
        <v>40.4</v>
      </c>
      <c r="N15" s="42">
        <v>13768.2</v>
      </c>
      <c r="O15" s="21">
        <f t="shared" si="6"/>
        <v>37199.700000000004</v>
      </c>
      <c r="P15" s="42">
        <v>13768.2</v>
      </c>
      <c r="Q15" s="36">
        <v>1815</v>
      </c>
      <c r="R15" s="37">
        <v>880</v>
      </c>
      <c r="S15" s="36">
        <f>21568-937.9</f>
        <v>20630.1</v>
      </c>
      <c r="T15" s="35">
        <f t="shared" si="7"/>
        <v>23325.1</v>
      </c>
      <c r="U15" s="31">
        <v>106.4</v>
      </c>
      <c r="V15" s="32">
        <v>0</v>
      </c>
      <c r="W15" s="35">
        <f t="shared" si="8"/>
        <v>106.4</v>
      </c>
      <c r="X15" s="29">
        <v>0</v>
      </c>
      <c r="Y15" s="60">
        <v>7357.9</v>
      </c>
      <c r="Z15" s="60">
        <v>1624.6</v>
      </c>
      <c r="AA15" s="69">
        <v>236.1</v>
      </c>
      <c r="AB15" s="72">
        <f t="shared" si="0"/>
        <v>9218.6</v>
      </c>
      <c r="AC15" s="62">
        <f t="shared" si="1"/>
        <v>0.24781382645558966</v>
      </c>
      <c r="AD15" s="58">
        <v>1474</v>
      </c>
      <c r="AE15" s="73">
        <f t="shared" si="2"/>
        <v>0.043672395207488224</v>
      </c>
      <c r="AF15" s="22"/>
      <c r="AG15" s="82"/>
      <c r="AH15" s="82"/>
      <c r="AI15" s="22">
        <f t="shared" si="3"/>
        <v>25.237245590230668</v>
      </c>
      <c r="AJ15" s="82"/>
      <c r="AK15" s="76">
        <f t="shared" si="12"/>
        <v>0.05540728489268128</v>
      </c>
      <c r="AL15" s="76"/>
      <c r="AM15" s="76"/>
      <c r="AN15" s="76"/>
      <c r="AO15" s="76">
        <f t="shared" si="9"/>
        <v>0.1896125116713352</v>
      </c>
      <c r="AP15" s="76">
        <f t="shared" si="10"/>
        <v>0.2335432309585395</v>
      </c>
      <c r="AQ15" s="76">
        <f t="shared" si="11"/>
        <v>0.04498488100156334</v>
      </c>
    </row>
    <row r="16" spans="1:43" ht="15.75" customHeight="1">
      <c r="A16" s="20">
        <v>4</v>
      </c>
      <c r="B16" s="16" t="s">
        <v>20</v>
      </c>
      <c r="C16" s="58">
        <v>1772</v>
      </c>
      <c r="D16" s="68">
        <f>C16/C32</f>
        <v>0.06595697163701332</v>
      </c>
      <c r="E16" s="62">
        <f t="shared" si="4"/>
        <v>0.03641694055194417</v>
      </c>
      <c r="F16">
        <v>327.8</v>
      </c>
      <c r="G16" s="21">
        <f t="shared" si="5"/>
        <v>9001.3053</v>
      </c>
      <c r="H16" s="43">
        <v>824.1</v>
      </c>
      <c r="I16" s="35">
        <v>1687.7053</v>
      </c>
      <c r="J16" s="21"/>
      <c r="K16" s="21"/>
      <c r="L16" s="43">
        <v>2370</v>
      </c>
      <c r="M16" s="46">
        <v>4524.3</v>
      </c>
      <c r="N16" s="42">
        <v>404.8</v>
      </c>
      <c r="O16" s="21">
        <f t="shared" si="6"/>
        <v>7843.3</v>
      </c>
      <c r="P16" s="42">
        <v>404.8</v>
      </c>
      <c r="Q16" s="36">
        <v>1150</v>
      </c>
      <c r="R16" s="37">
        <v>406</v>
      </c>
      <c r="S16" s="36">
        <f>985-703.4</f>
        <v>281.6</v>
      </c>
      <c r="T16" s="35">
        <f t="shared" si="7"/>
        <v>1837.6</v>
      </c>
      <c r="U16" s="31">
        <v>1243.6</v>
      </c>
      <c r="V16" s="32">
        <v>990</v>
      </c>
      <c r="W16" s="35">
        <f t="shared" si="8"/>
        <v>2233.6</v>
      </c>
      <c r="X16" s="29">
        <v>3367.3</v>
      </c>
      <c r="Y16" s="60">
        <v>5397</v>
      </c>
      <c r="Z16" s="60">
        <v>523.9</v>
      </c>
      <c r="AA16" s="70"/>
      <c r="AB16" s="72">
        <f t="shared" si="0"/>
        <v>5920.9</v>
      </c>
      <c r="AC16" s="62">
        <f t="shared" si="1"/>
        <v>0.7548990858439687</v>
      </c>
      <c r="AD16" s="58">
        <v>1753</v>
      </c>
      <c r="AE16" s="73">
        <f t="shared" si="2"/>
        <v>0.0667958639858223</v>
      </c>
      <c r="AF16" s="22"/>
      <c r="AG16" s="82"/>
      <c r="AH16" s="82"/>
      <c r="AI16" s="22">
        <f t="shared" si="3"/>
        <v>4.474215630347975</v>
      </c>
      <c r="AJ16" s="82"/>
      <c r="AK16" s="76">
        <f t="shared" si="12"/>
        <v>0.06589482389204225</v>
      </c>
      <c r="AL16" s="76"/>
      <c r="AM16" s="76"/>
      <c r="AN16" s="76"/>
      <c r="AO16" s="76">
        <f t="shared" si="9"/>
        <v>0.06114612511671335</v>
      </c>
      <c r="AP16" s="76">
        <f t="shared" si="10"/>
        <v>0.049240978378242636</v>
      </c>
      <c r="AQ16" s="76">
        <f t="shared" si="11"/>
        <v>0.08182642341702404</v>
      </c>
    </row>
    <row r="17" spans="1:43" ht="15.75" customHeight="1">
      <c r="A17" s="20">
        <v>4</v>
      </c>
      <c r="B17" s="16" t="s">
        <v>21</v>
      </c>
      <c r="C17" s="58">
        <v>1598</v>
      </c>
      <c r="D17" s="68">
        <f>C17/C32</f>
        <v>0.05948038412863843</v>
      </c>
      <c r="E17" s="62">
        <f t="shared" si="4"/>
        <v>0.07414933296725339</v>
      </c>
      <c r="F17">
        <v>611.3</v>
      </c>
      <c r="G17" s="21">
        <f t="shared" si="5"/>
        <v>8244.17396</v>
      </c>
      <c r="H17" s="43">
        <v>736.9</v>
      </c>
      <c r="I17" s="35">
        <v>557.5739599999999</v>
      </c>
      <c r="J17" s="21"/>
      <c r="K17" s="21"/>
      <c r="L17" s="43">
        <v>2879</v>
      </c>
      <c r="M17" s="46">
        <v>4331</v>
      </c>
      <c r="N17" s="42">
        <v>260.3</v>
      </c>
      <c r="O17" s="21">
        <f t="shared" si="6"/>
        <v>6404.9</v>
      </c>
      <c r="P17" s="42">
        <v>260.3</v>
      </c>
      <c r="Q17" s="36">
        <v>394</v>
      </c>
      <c r="R17" s="37">
        <v>74</v>
      </c>
      <c r="S17" s="36">
        <f>1480-1348.2</f>
        <v>131.79999999999995</v>
      </c>
      <c r="T17" s="35">
        <f t="shared" si="7"/>
        <v>599.8</v>
      </c>
      <c r="U17" s="31">
        <v>2360.5</v>
      </c>
      <c r="V17" s="32">
        <v>524</v>
      </c>
      <c r="W17" s="35">
        <f t="shared" si="8"/>
        <v>2884.5</v>
      </c>
      <c r="X17" s="29">
        <v>2660.3</v>
      </c>
      <c r="Y17" s="60">
        <v>4331.1</v>
      </c>
      <c r="Z17" s="60">
        <v>332.7</v>
      </c>
      <c r="AA17" s="69">
        <v>236.1</v>
      </c>
      <c r="AB17" s="72">
        <f t="shared" si="0"/>
        <v>4899.900000000001</v>
      </c>
      <c r="AC17" s="62">
        <f t="shared" si="1"/>
        <v>0.7650236537650862</v>
      </c>
      <c r="AD17" s="58">
        <v>1564</v>
      </c>
      <c r="AE17" s="73">
        <f t="shared" si="2"/>
        <v>0.05194460491186435</v>
      </c>
      <c r="AF17" s="22"/>
      <c r="AG17" s="82"/>
      <c r="AH17" s="82"/>
      <c r="AI17" s="22">
        <f t="shared" si="3"/>
        <v>4.095204603580562</v>
      </c>
      <c r="AJ17" s="82"/>
      <c r="AK17" s="76">
        <f t="shared" si="12"/>
        <v>0.058790361989249335</v>
      </c>
      <c r="AL17" s="76"/>
      <c r="AM17" s="76"/>
      <c r="AN17" s="76"/>
      <c r="AO17" s="76">
        <f t="shared" si="9"/>
        <v>0.038830532212885155</v>
      </c>
      <c r="AP17" s="76">
        <f t="shared" si="10"/>
        <v>0.04021056728861656</v>
      </c>
      <c r="AQ17" s="76">
        <f t="shared" si="11"/>
        <v>0.056772664475116565</v>
      </c>
    </row>
    <row r="18" spans="1:43" ht="15.75" customHeight="1">
      <c r="A18" s="20">
        <v>4</v>
      </c>
      <c r="B18" s="16" t="s">
        <v>22</v>
      </c>
      <c r="C18" s="58">
        <v>1066</v>
      </c>
      <c r="D18" s="68">
        <f>C18/C32</f>
        <v>0.039678403930618625</v>
      </c>
      <c r="E18" s="62">
        <f t="shared" si="4"/>
        <v>0.030793354334265576</v>
      </c>
      <c r="F18">
        <v>151.6</v>
      </c>
      <c r="G18" s="21">
        <f t="shared" si="5"/>
        <v>4923.140179999999</v>
      </c>
      <c r="H18" s="43">
        <v>270.9</v>
      </c>
      <c r="I18" s="35">
        <v>440.84018</v>
      </c>
      <c r="J18" s="21"/>
      <c r="K18" s="21"/>
      <c r="L18" s="43">
        <v>1958</v>
      </c>
      <c r="M18" s="46">
        <v>2405.5</v>
      </c>
      <c r="N18" s="42">
        <v>152.1</v>
      </c>
      <c r="O18" s="21">
        <f t="shared" si="6"/>
        <v>4416.8</v>
      </c>
      <c r="P18" s="42">
        <v>152.1</v>
      </c>
      <c r="Q18" s="36">
        <v>310</v>
      </c>
      <c r="R18" s="37">
        <v>57</v>
      </c>
      <c r="S18" s="36">
        <f>468-410.4</f>
        <v>57.60000000000002</v>
      </c>
      <c r="T18" s="35">
        <f t="shared" si="7"/>
        <v>424.6</v>
      </c>
      <c r="U18" s="31">
        <v>1323.2</v>
      </c>
      <c r="V18" s="32">
        <v>631</v>
      </c>
      <c r="W18" s="35">
        <f t="shared" si="8"/>
        <v>1954.2</v>
      </c>
      <c r="X18" s="29">
        <v>1885.9</v>
      </c>
      <c r="Y18" s="60">
        <v>3159.8</v>
      </c>
      <c r="Z18" s="60">
        <v>206.5</v>
      </c>
      <c r="AA18" s="69">
        <v>78.7</v>
      </c>
      <c r="AB18" s="72">
        <f t="shared" si="0"/>
        <v>3445</v>
      </c>
      <c r="AC18" s="62">
        <f t="shared" si="1"/>
        <v>0.7799764535410252</v>
      </c>
      <c r="AD18" s="58">
        <v>1054</v>
      </c>
      <c r="AE18" s="73">
        <f t="shared" si="2"/>
        <v>0.04675330556058685</v>
      </c>
      <c r="AF18" s="22"/>
      <c r="AG18" s="82"/>
      <c r="AH18" s="82"/>
      <c r="AI18" s="22">
        <f t="shared" si="3"/>
        <v>4.190512333965844</v>
      </c>
      <c r="AJ18" s="82"/>
      <c r="AK18" s="76">
        <f t="shared" si="12"/>
        <v>0.03961959177536368</v>
      </c>
      <c r="AL18" s="76"/>
      <c r="AM18" s="76"/>
      <c r="AN18" s="76"/>
      <c r="AO18" s="76">
        <f t="shared" si="9"/>
        <v>0.024101307189542485</v>
      </c>
      <c r="AP18" s="76">
        <f t="shared" si="10"/>
        <v>0.02772908766731122</v>
      </c>
      <c r="AQ18" s="76">
        <f t="shared" si="11"/>
        <v>0.03443618353257211</v>
      </c>
    </row>
    <row r="19" spans="1:43" ht="15.75" customHeight="1">
      <c r="A19" s="20">
        <v>4</v>
      </c>
      <c r="B19" s="16" t="s">
        <v>23</v>
      </c>
      <c r="C19" s="58">
        <v>1517</v>
      </c>
      <c r="D19" s="68">
        <f>C19/C32</f>
        <v>0.05646542097818805</v>
      </c>
      <c r="E19" s="62">
        <f t="shared" si="4"/>
        <v>0.05345654854772575</v>
      </c>
      <c r="F19">
        <v>345.5</v>
      </c>
      <c r="G19" s="21">
        <f t="shared" si="5"/>
        <v>6463.19318</v>
      </c>
      <c r="H19" s="43">
        <v>284</v>
      </c>
      <c r="I19" s="35">
        <v>636.0931800000001</v>
      </c>
      <c r="J19" s="21"/>
      <c r="K19" s="21"/>
      <c r="L19" s="43">
        <v>2471</v>
      </c>
      <c r="M19" s="46">
        <v>3262.8</v>
      </c>
      <c r="N19" s="42">
        <v>190.7</v>
      </c>
      <c r="O19" s="21">
        <f t="shared" si="6"/>
        <v>5526.5</v>
      </c>
      <c r="P19" s="42">
        <v>190.7</v>
      </c>
      <c r="Q19" s="36">
        <v>420</v>
      </c>
      <c r="R19" s="37">
        <v>80</v>
      </c>
      <c r="S19" s="36">
        <f>1046-937.9</f>
        <v>108.10000000000002</v>
      </c>
      <c r="T19" s="35">
        <f t="shared" si="7"/>
        <v>608.1</v>
      </c>
      <c r="U19" s="31">
        <v>1713.6</v>
      </c>
      <c r="V19" s="32">
        <v>854</v>
      </c>
      <c r="W19" s="35">
        <f t="shared" si="8"/>
        <v>2567.6</v>
      </c>
      <c r="X19" s="29">
        <v>2160.1</v>
      </c>
      <c r="Y19" s="60">
        <v>3789.2</v>
      </c>
      <c r="Z19" s="60">
        <v>173.4</v>
      </c>
      <c r="AA19" s="69">
        <v>78.7</v>
      </c>
      <c r="AB19" s="72">
        <f t="shared" si="0"/>
        <v>4041.2999999999997</v>
      </c>
      <c r="AC19" s="62">
        <f t="shared" si="1"/>
        <v>0.7312584818601284</v>
      </c>
      <c r="AD19" s="58">
        <v>1498</v>
      </c>
      <c r="AE19" s="73">
        <f t="shared" si="2"/>
        <v>0.031376096987243286</v>
      </c>
      <c r="AF19" s="22"/>
      <c r="AG19" s="82"/>
      <c r="AH19" s="82"/>
      <c r="AI19" s="22">
        <f t="shared" si="3"/>
        <v>3.689252336448598</v>
      </c>
      <c r="AJ19" s="82"/>
      <c r="AK19" s="76">
        <f t="shared" si="12"/>
        <v>0.056309438785099426</v>
      </c>
      <c r="AL19" s="76"/>
      <c r="AM19" s="76"/>
      <c r="AN19" s="76"/>
      <c r="AO19" s="76">
        <f t="shared" si="9"/>
        <v>0.02023809523809524</v>
      </c>
      <c r="AP19" s="76">
        <f t="shared" si="10"/>
        <v>0.03469588910373923</v>
      </c>
      <c r="AQ19" s="76">
        <f t="shared" si="11"/>
        <v>0.03284526825438002</v>
      </c>
    </row>
    <row r="20" spans="1:43" ht="15.75" customHeight="1">
      <c r="A20" s="20">
        <v>4</v>
      </c>
      <c r="B20" s="16" t="s">
        <v>24</v>
      </c>
      <c r="C20" s="58">
        <v>366</v>
      </c>
      <c r="D20" s="68">
        <f>C20/C32</f>
        <v>0.013623166827960992</v>
      </c>
      <c r="E20" s="62">
        <f t="shared" si="4"/>
        <v>0.08992144770787723</v>
      </c>
      <c r="F20">
        <v>326.5</v>
      </c>
      <c r="G20" s="21">
        <f t="shared" si="5"/>
        <v>3630.94688</v>
      </c>
      <c r="H20" s="43">
        <v>364.1</v>
      </c>
      <c r="I20" s="35">
        <v>154.84688</v>
      </c>
      <c r="J20" s="21"/>
      <c r="K20" s="21"/>
      <c r="L20" s="43">
        <v>1021</v>
      </c>
      <c r="M20" s="46">
        <v>2377.2</v>
      </c>
      <c r="N20" s="42">
        <v>286.2</v>
      </c>
      <c r="O20" s="21">
        <f t="shared" si="6"/>
        <v>3168.2</v>
      </c>
      <c r="P20" s="42">
        <v>286.2</v>
      </c>
      <c r="Q20" s="36">
        <v>95</v>
      </c>
      <c r="R20" s="37">
        <v>2</v>
      </c>
      <c r="S20" s="36">
        <f>282-234.4</f>
        <v>47.599999999999994</v>
      </c>
      <c r="T20" s="35">
        <f t="shared" si="7"/>
        <v>144.6</v>
      </c>
      <c r="U20" s="31">
        <v>794.9</v>
      </c>
      <c r="V20" s="32">
        <v>273</v>
      </c>
      <c r="W20" s="35">
        <f t="shared" si="8"/>
        <v>1067.9</v>
      </c>
      <c r="X20" s="29">
        <v>1669.5</v>
      </c>
      <c r="Y20" s="60">
        <v>2230.9</v>
      </c>
      <c r="Z20" s="60">
        <v>159.2</v>
      </c>
      <c r="AA20" s="70"/>
      <c r="AB20" s="72">
        <f t="shared" si="0"/>
        <v>2390.1</v>
      </c>
      <c r="AC20" s="62">
        <f t="shared" si="1"/>
        <v>0.7544031311154599</v>
      </c>
      <c r="AD20" s="58">
        <v>370</v>
      </c>
      <c r="AE20" s="73">
        <f t="shared" si="2"/>
        <v>0.050249352944889844</v>
      </c>
      <c r="AF20" s="22"/>
      <c r="AG20" s="82"/>
      <c r="AH20" s="82"/>
      <c r="AI20" s="22">
        <f t="shared" si="3"/>
        <v>8.562702702702703</v>
      </c>
      <c r="AJ20" s="82"/>
      <c r="AK20" s="76">
        <f t="shared" si="12"/>
        <v>0.013908205841446454</v>
      </c>
      <c r="AL20" s="76"/>
      <c r="AM20" s="76"/>
      <c r="AN20" s="76"/>
      <c r="AO20" s="76">
        <f t="shared" si="9"/>
        <v>0.01858076563958917</v>
      </c>
      <c r="AP20" s="76">
        <f t="shared" si="10"/>
        <v>0.019890258908616055</v>
      </c>
      <c r="AQ20" s="76">
        <f t="shared" si="11"/>
        <v>0.012992546471837889</v>
      </c>
    </row>
    <row r="21" spans="1:43" ht="15.75" customHeight="1">
      <c r="A21" s="20">
        <v>4</v>
      </c>
      <c r="B21" s="16" t="s">
        <v>25</v>
      </c>
      <c r="C21" s="58">
        <v>454</v>
      </c>
      <c r="D21" s="68">
        <f>C21/C32</f>
        <v>0.016898682349437952</v>
      </c>
      <c r="E21" s="62">
        <f t="shared" si="4"/>
        <v>0.043979302818428115</v>
      </c>
      <c r="F21">
        <v>121.4</v>
      </c>
      <c r="G21" s="21">
        <f t="shared" si="5"/>
        <v>2760.38937</v>
      </c>
      <c r="H21" s="43">
        <v>487.5</v>
      </c>
      <c r="I21" s="35">
        <v>480.68937</v>
      </c>
      <c r="J21" s="21"/>
      <c r="K21" s="21"/>
      <c r="L21" s="43">
        <v>944</v>
      </c>
      <c r="M21" s="46">
        <v>984.5</v>
      </c>
      <c r="N21" s="42">
        <v>136.3</v>
      </c>
      <c r="O21" s="21">
        <f t="shared" si="6"/>
        <v>2242.4</v>
      </c>
      <c r="P21" s="42">
        <v>136.3</v>
      </c>
      <c r="Q21" s="36">
        <v>380</v>
      </c>
      <c r="R21" s="37">
        <v>44</v>
      </c>
      <c r="S21" s="36">
        <f>370-351.7</f>
        <v>18.30000000000001</v>
      </c>
      <c r="T21" s="35">
        <f t="shared" si="7"/>
        <v>442.3</v>
      </c>
      <c r="U21" s="31">
        <v>597.2</v>
      </c>
      <c r="V21" s="32">
        <v>286</v>
      </c>
      <c r="W21" s="35">
        <f t="shared" si="8"/>
        <v>883.2</v>
      </c>
      <c r="X21" s="29">
        <v>780.6</v>
      </c>
      <c r="Y21" s="60">
        <v>1695.7</v>
      </c>
      <c r="Z21" s="60">
        <v>96</v>
      </c>
      <c r="AA21" s="69">
        <v>78.7</v>
      </c>
      <c r="AB21" s="72">
        <f t="shared" si="0"/>
        <v>1870.4</v>
      </c>
      <c r="AC21" s="62">
        <f t="shared" si="1"/>
        <v>0.8341063146628612</v>
      </c>
      <c r="AD21" s="58">
        <v>435</v>
      </c>
      <c r="AE21" s="73">
        <f t="shared" si="2"/>
        <v>0.042811273635390654</v>
      </c>
      <c r="AF21" s="22"/>
      <c r="AG21" s="82"/>
      <c r="AH21" s="82"/>
      <c r="AI21" s="22">
        <f t="shared" si="3"/>
        <v>5.154942528735632</v>
      </c>
      <c r="AJ21" s="82"/>
      <c r="AK21" s="76">
        <f t="shared" si="12"/>
        <v>0.01635153930007894</v>
      </c>
      <c r="AL21" s="76"/>
      <c r="AM21" s="76"/>
      <c r="AN21" s="76"/>
      <c r="AO21" s="76">
        <f t="shared" si="9"/>
        <v>0.011204481792717087</v>
      </c>
      <c r="AP21" s="76">
        <f t="shared" si="10"/>
        <v>0.014077999045729641</v>
      </c>
      <c r="AQ21" s="76">
        <f t="shared" si="11"/>
        <v>0.013013960561831878</v>
      </c>
    </row>
    <row r="22" spans="1:43" ht="15.75" customHeight="1">
      <c r="A22" s="20">
        <v>4</v>
      </c>
      <c r="B22" s="16" t="s">
        <v>26</v>
      </c>
      <c r="C22" s="58">
        <v>1861</v>
      </c>
      <c r="D22" s="68">
        <f>C22/C32</f>
        <v>0.0692697089257798</v>
      </c>
      <c r="E22" s="62">
        <f t="shared" si="4"/>
        <v>0.04234615324410731</v>
      </c>
      <c r="F22">
        <v>264.9</v>
      </c>
      <c r="G22" s="21">
        <f t="shared" si="5"/>
        <v>6255.5859199999995</v>
      </c>
      <c r="H22" s="43">
        <v>205.9</v>
      </c>
      <c r="I22" s="35">
        <v>964.9859200000001</v>
      </c>
      <c r="J22" s="21"/>
      <c r="K22" s="21"/>
      <c r="L22" s="43">
        <v>2872</v>
      </c>
      <c r="M22" s="46">
        <v>2478.7</v>
      </c>
      <c r="N22" s="42">
        <v>266</v>
      </c>
      <c r="O22" s="21">
        <f t="shared" si="6"/>
        <v>6460.6</v>
      </c>
      <c r="P22" s="42">
        <v>266</v>
      </c>
      <c r="Q22" s="36">
        <v>590</v>
      </c>
      <c r="R22" s="37">
        <v>150</v>
      </c>
      <c r="S22" s="36">
        <f>1589-1524.1</f>
        <v>64.90000000000009</v>
      </c>
      <c r="T22" s="35">
        <f t="shared" si="7"/>
        <v>804.9000000000001</v>
      </c>
      <c r="U22" s="31">
        <v>2166.4</v>
      </c>
      <c r="V22" s="32">
        <v>798</v>
      </c>
      <c r="W22" s="35">
        <f t="shared" si="8"/>
        <v>2964.4</v>
      </c>
      <c r="X22" s="29">
        <v>2425.3</v>
      </c>
      <c r="Y22" s="60">
        <v>4998.2</v>
      </c>
      <c r="Z22" s="60">
        <v>143.5</v>
      </c>
      <c r="AA22" s="69">
        <v>402.1</v>
      </c>
      <c r="AB22" s="72">
        <f t="shared" si="0"/>
        <v>5543.8</v>
      </c>
      <c r="AC22" s="62">
        <f t="shared" si="1"/>
        <v>0.8580936755100145</v>
      </c>
      <c r="AD22" s="58">
        <v>1818</v>
      </c>
      <c r="AE22" s="73">
        <f t="shared" si="2"/>
        <v>0.022211559297898028</v>
      </c>
      <c r="AF22" s="22"/>
      <c r="AG22" s="82"/>
      <c r="AH22" s="82"/>
      <c r="AI22" s="22">
        <f t="shared" si="3"/>
        <v>3.5536853685368537</v>
      </c>
      <c r="AJ22" s="82"/>
      <c r="AK22" s="76">
        <f t="shared" si="12"/>
        <v>0.06833815735067474</v>
      </c>
      <c r="AL22" s="76"/>
      <c r="AM22" s="76"/>
      <c r="AN22" s="76"/>
      <c r="AO22" s="76">
        <f t="shared" si="9"/>
        <v>0.016748366013071895</v>
      </c>
      <c r="AP22" s="76">
        <f t="shared" si="10"/>
        <v>0.04056025715074961</v>
      </c>
      <c r="AQ22" s="76">
        <f t="shared" si="11"/>
        <v>0.028218570402896156</v>
      </c>
    </row>
    <row r="23" spans="1:43" ht="15.75" customHeight="1">
      <c r="A23" s="20">
        <v>4</v>
      </c>
      <c r="B23" s="16" t="s">
        <v>27</v>
      </c>
      <c r="C23" s="58">
        <v>1295</v>
      </c>
      <c r="D23" s="68">
        <f>C23/C32</f>
        <v>0.04820218863991663</v>
      </c>
      <c r="E23" s="62">
        <f t="shared" si="4"/>
        <v>0.10607885507107595</v>
      </c>
      <c r="F23">
        <v>574.2</v>
      </c>
      <c r="G23" s="21">
        <f t="shared" si="5"/>
        <v>5412.954349999999</v>
      </c>
      <c r="H23" s="43">
        <v>292.3</v>
      </c>
      <c r="I23" s="35">
        <v>720.7543499999999</v>
      </c>
      <c r="J23" s="21"/>
      <c r="K23" s="21"/>
      <c r="L23" s="43">
        <v>2078</v>
      </c>
      <c r="M23" s="46">
        <v>2486.7</v>
      </c>
      <c r="N23" s="42">
        <v>164.8</v>
      </c>
      <c r="O23" s="21">
        <f t="shared" si="6"/>
        <v>4331.9</v>
      </c>
      <c r="P23" s="42">
        <v>164.8</v>
      </c>
      <c r="Q23" s="36">
        <v>262</v>
      </c>
      <c r="R23" s="37">
        <v>104</v>
      </c>
      <c r="S23" s="36">
        <f>702-527.6</f>
        <v>174.39999999999998</v>
      </c>
      <c r="T23" s="35">
        <f t="shared" si="7"/>
        <v>540.4</v>
      </c>
      <c r="U23" s="31">
        <v>1520.8</v>
      </c>
      <c r="V23" s="32">
        <v>570</v>
      </c>
      <c r="W23" s="35">
        <f t="shared" si="8"/>
        <v>2090.8</v>
      </c>
      <c r="X23" s="29">
        <v>1535.9</v>
      </c>
      <c r="Y23" s="60">
        <v>2961.8</v>
      </c>
      <c r="Z23" s="60">
        <v>418</v>
      </c>
      <c r="AA23" s="70"/>
      <c r="AB23" s="72">
        <f t="shared" si="0"/>
        <v>3379.8</v>
      </c>
      <c r="AC23" s="62">
        <f t="shared" si="1"/>
        <v>0.780211916249221</v>
      </c>
      <c r="AD23" s="58">
        <v>1262</v>
      </c>
      <c r="AE23" s="73">
        <f t="shared" si="2"/>
        <v>0.0964934555275976</v>
      </c>
      <c r="AF23" s="22"/>
      <c r="AG23" s="82"/>
      <c r="AH23" s="82"/>
      <c r="AI23" s="22">
        <f t="shared" si="3"/>
        <v>3.43256735340729</v>
      </c>
      <c r="AJ23" s="82"/>
      <c r="AK23" s="76">
        <f t="shared" si="12"/>
        <v>0.047438258842987635</v>
      </c>
      <c r="AL23" s="76"/>
      <c r="AM23" s="76"/>
      <c r="AN23" s="76"/>
      <c r="AO23" s="76">
        <f t="shared" si="9"/>
        <v>0.048786181139122316</v>
      </c>
      <c r="AP23" s="76">
        <f t="shared" si="10"/>
        <v>0.027196077446573413</v>
      </c>
      <c r="AQ23" s="76">
        <f t="shared" si="11"/>
        <v>0.08509798861196291</v>
      </c>
    </row>
    <row r="24" spans="1:43" ht="15.75" customHeight="1">
      <c r="A24" s="20">
        <v>4</v>
      </c>
      <c r="B24" s="16" t="s">
        <v>28</v>
      </c>
      <c r="C24" s="58">
        <v>507</v>
      </c>
      <c r="D24" s="68">
        <f>C24/C32</f>
        <v>0.01887143601578203</v>
      </c>
      <c r="E24" s="62">
        <f t="shared" si="4"/>
        <v>0.028117081348404818</v>
      </c>
      <c r="F24">
        <v>99.4</v>
      </c>
      <c r="G24" s="21">
        <f t="shared" si="5"/>
        <v>3535.2175700000003</v>
      </c>
      <c r="H24" s="43">
        <v>165.71</v>
      </c>
      <c r="I24" s="35">
        <v>174.80757</v>
      </c>
      <c r="J24" s="21"/>
      <c r="K24" s="21"/>
      <c r="L24" s="43">
        <v>1232</v>
      </c>
      <c r="M24" s="46">
        <v>2050.4</v>
      </c>
      <c r="N24" s="42">
        <v>87.7</v>
      </c>
      <c r="O24" s="21">
        <f t="shared" si="6"/>
        <v>2847.2</v>
      </c>
      <c r="P24" s="42">
        <v>87.7</v>
      </c>
      <c r="Q24" s="36">
        <v>95</v>
      </c>
      <c r="R24" s="37">
        <v>35</v>
      </c>
      <c r="S24" s="36">
        <f>390-351.7</f>
        <v>38.30000000000001</v>
      </c>
      <c r="T24" s="35">
        <f t="shared" si="7"/>
        <v>168.3</v>
      </c>
      <c r="U24" s="31">
        <v>1002.3</v>
      </c>
      <c r="V24" s="32">
        <v>262</v>
      </c>
      <c r="W24" s="35">
        <f t="shared" si="8"/>
        <v>1264.3</v>
      </c>
      <c r="X24" s="29">
        <v>1326.9</v>
      </c>
      <c r="Y24" s="60">
        <v>1987.3</v>
      </c>
      <c r="Z24" s="60">
        <v>65.4</v>
      </c>
      <c r="AA24" s="70"/>
      <c r="AB24" s="72">
        <f t="shared" si="0"/>
        <v>2052.7</v>
      </c>
      <c r="AC24" s="62">
        <f t="shared" si="1"/>
        <v>0.7209539196403484</v>
      </c>
      <c r="AD24" s="58">
        <v>501</v>
      </c>
      <c r="AE24" s="73">
        <f t="shared" si="2"/>
        <v>0.02296993537510537</v>
      </c>
      <c r="AF24" s="22"/>
      <c r="AG24" s="82"/>
      <c r="AH24" s="82"/>
      <c r="AI24" s="22">
        <f t="shared" si="3"/>
        <v>5.683033932135729</v>
      </c>
      <c r="AJ24" s="82"/>
      <c r="AK24" s="76">
        <f t="shared" si="12"/>
        <v>0.018832462504228847</v>
      </c>
      <c r="AL24" s="76"/>
      <c r="AM24" s="76"/>
      <c r="AN24" s="76"/>
      <c r="AO24" s="76">
        <f t="shared" si="9"/>
        <v>0.007633053221288516</v>
      </c>
      <c r="AP24" s="76">
        <f t="shared" si="10"/>
        <v>0.01787499058285829</v>
      </c>
      <c r="AQ24" s="76">
        <f t="shared" si="11"/>
        <v>0.008041916884731196</v>
      </c>
    </row>
    <row r="25" spans="1:43" ht="15.75" customHeight="1">
      <c r="A25" s="20">
        <v>4</v>
      </c>
      <c r="B25" s="16" t="s">
        <v>29</v>
      </c>
      <c r="C25" s="58">
        <v>342</v>
      </c>
      <c r="D25" s="68">
        <f>C25/C32</f>
        <v>0.01272984441301273</v>
      </c>
      <c r="E25" s="62">
        <f t="shared" si="4"/>
        <v>0.008811798485485607</v>
      </c>
      <c r="F25">
        <v>24.2</v>
      </c>
      <c r="G25" s="21">
        <f t="shared" si="5"/>
        <v>2746.31791</v>
      </c>
      <c r="H25" s="43">
        <v>385.8</v>
      </c>
      <c r="I25" s="35">
        <v>100.71791</v>
      </c>
      <c r="J25" s="21"/>
      <c r="K25" s="21"/>
      <c r="L25" s="43">
        <v>1008</v>
      </c>
      <c r="M25" s="46">
        <v>1621.9</v>
      </c>
      <c r="N25" s="42">
        <v>370.1</v>
      </c>
      <c r="O25" s="21">
        <f t="shared" si="6"/>
        <v>2681.2</v>
      </c>
      <c r="P25" s="42">
        <v>370.1</v>
      </c>
      <c r="Q25" s="36">
        <v>83</v>
      </c>
      <c r="R25" s="37">
        <v>2</v>
      </c>
      <c r="S25" s="36">
        <f>308-293.1</f>
        <v>14.899999999999977</v>
      </c>
      <c r="T25" s="35">
        <f t="shared" si="7"/>
        <v>99.89999999999998</v>
      </c>
      <c r="U25" s="31">
        <v>747.3</v>
      </c>
      <c r="V25" s="32">
        <v>265</v>
      </c>
      <c r="W25" s="35">
        <f t="shared" si="8"/>
        <v>1012.3</v>
      </c>
      <c r="X25" s="29">
        <v>1198.9</v>
      </c>
      <c r="Y25" s="60">
        <v>1803.3</v>
      </c>
      <c r="Z25" s="60">
        <v>37</v>
      </c>
      <c r="AA25" s="69">
        <v>78.7</v>
      </c>
      <c r="AB25" s="72">
        <f t="shared" si="0"/>
        <v>1919</v>
      </c>
      <c r="AC25" s="62">
        <f t="shared" si="1"/>
        <v>0.7157243025510965</v>
      </c>
      <c r="AD25" s="58">
        <v>329</v>
      </c>
      <c r="AE25" s="73">
        <f t="shared" si="2"/>
        <v>0.013799791138296286</v>
      </c>
      <c r="AF25" s="22"/>
      <c r="AG25" s="82"/>
      <c r="AH25" s="82"/>
      <c r="AI25" s="22">
        <f t="shared" si="3"/>
        <v>8.149544072948327</v>
      </c>
      <c r="AJ25" s="82"/>
      <c r="AK25" s="76">
        <f t="shared" si="12"/>
        <v>0.012367026275232116</v>
      </c>
      <c r="AL25" s="76"/>
      <c r="AM25" s="76"/>
      <c r="AN25" s="76"/>
      <c r="AO25" s="76">
        <f t="shared" si="9"/>
        <v>0.0043183940242763775</v>
      </c>
      <c r="AP25" s="76">
        <f t="shared" si="10"/>
        <v>0.016832826900379197</v>
      </c>
      <c r="AQ25" s="76">
        <f t="shared" si="11"/>
        <v>0.0031727108394269906</v>
      </c>
    </row>
    <row r="26" spans="1:43" ht="15.75" customHeight="1">
      <c r="A26" s="20">
        <v>4</v>
      </c>
      <c r="B26" s="16" t="s">
        <v>30</v>
      </c>
      <c r="C26" s="58">
        <v>1287</v>
      </c>
      <c r="D26" s="68">
        <f>C26/C32</f>
        <v>0.04790441450160054</v>
      </c>
      <c r="E26" s="62">
        <f t="shared" si="4"/>
        <v>0.07396359458985029</v>
      </c>
      <c r="F26">
        <v>363.6</v>
      </c>
      <c r="G26" s="21">
        <f t="shared" si="5"/>
        <v>4915.93198</v>
      </c>
      <c r="H26" s="43">
        <v>481</v>
      </c>
      <c r="I26" s="35">
        <v>509.33198</v>
      </c>
      <c r="J26" s="21"/>
      <c r="K26" s="21"/>
      <c r="L26" s="43">
        <v>2208</v>
      </c>
      <c r="M26" s="46">
        <v>1790.5</v>
      </c>
      <c r="N26" s="42">
        <v>72.9</v>
      </c>
      <c r="O26" s="21">
        <f t="shared" si="6"/>
        <v>4686.2</v>
      </c>
      <c r="P26" s="42">
        <v>72.9</v>
      </c>
      <c r="Q26" s="36">
        <v>210</v>
      </c>
      <c r="R26" s="37">
        <v>205</v>
      </c>
      <c r="S26" s="36">
        <f>1073-937.9</f>
        <v>135.10000000000002</v>
      </c>
      <c r="T26" s="35">
        <f t="shared" si="7"/>
        <v>550.1</v>
      </c>
      <c r="U26" s="31">
        <v>1713.6</v>
      </c>
      <c r="V26" s="32">
        <v>556</v>
      </c>
      <c r="W26" s="35">
        <f t="shared" si="8"/>
        <v>2269.6</v>
      </c>
      <c r="X26" s="29">
        <v>1793.6</v>
      </c>
      <c r="Y26" s="60">
        <v>3665.8</v>
      </c>
      <c r="Z26" s="60">
        <v>233.5</v>
      </c>
      <c r="AA26" s="70"/>
      <c r="AB26" s="72">
        <f t="shared" si="0"/>
        <v>3899.3</v>
      </c>
      <c r="AC26" s="62">
        <f t="shared" si="1"/>
        <v>0.8320814305834152</v>
      </c>
      <c r="AD26" s="58">
        <v>1274</v>
      </c>
      <c r="AE26" s="73">
        <f t="shared" si="2"/>
        <v>0.04982715206350562</v>
      </c>
      <c r="AF26" s="22"/>
      <c r="AG26" s="82"/>
      <c r="AH26" s="82"/>
      <c r="AI26" s="22">
        <f t="shared" si="3"/>
        <v>3.678335949764521</v>
      </c>
      <c r="AJ26" s="82"/>
      <c r="AK26" s="76">
        <f t="shared" si="12"/>
        <v>0.047889335789196706</v>
      </c>
      <c r="AL26" s="76"/>
      <c r="AM26" s="76"/>
      <c r="AN26" s="76"/>
      <c r="AO26" s="76">
        <f t="shared" si="9"/>
        <v>0.027252567693744165</v>
      </c>
      <c r="AP26" s="76">
        <f t="shared" si="10"/>
        <v>0.029420406318274275</v>
      </c>
      <c r="AQ26" s="76">
        <f t="shared" si="11"/>
        <v>0.04436061661707474</v>
      </c>
    </row>
    <row r="27" spans="1:43" ht="15.75" customHeight="1">
      <c r="A27" s="20">
        <v>4</v>
      </c>
      <c r="B27" s="16" t="s">
        <v>31</v>
      </c>
      <c r="C27" s="58">
        <v>2387</v>
      </c>
      <c r="D27" s="68">
        <f>C27/C32</f>
        <v>0.08884835852006254</v>
      </c>
      <c r="E27" s="62">
        <f t="shared" si="4"/>
        <v>0.06427532397686622</v>
      </c>
      <c r="F27">
        <v>505.7</v>
      </c>
      <c r="G27" s="21">
        <f t="shared" si="5"/>
        <v>7867.716080000001</v>
      </c>
      <c r="H27" s="43">
        <v>186.3</v>
      </c>
      <c r="I27" s="35">
        <v>2983.1160800000002</v>
      </c>
      <c r="J27" s="21"/>
      <c r="K27" s="21"/>
      <c r="L27" s="43">
        <v>3961</v>
      </c>
      <c r="M27" s="46">
        <v>1437.1</v>
      </c>
      <c r="N27" s="42">
        <v>699.8</v>
      </c>
      <c r="O27" s="21">
        <f t="shared" si="6"/>
        <v>9089.9</v>
      </c>
      <c r="P27" s="42">
        <v>699.8</v>
      </c>
      <c r="Q27" s="36">
        <v>2331</v>
      </c>
      <c r="R27" s="37">
        <v>250</v>
      </c>
      <c r="S27" s="36">
        <f>1262-879.3</f>
        <v>382.70000000000005</v>
      </c>
      <c r="T27" s="35">
        <f t="shared" si="7"/>
        <v>2963.7</v>
      </c>
      <c r="U27" s="31">
        <v>2410.8</v>
      </c>
      <c r="V27" s="32">
        <v>502</v>
      </c>
      <c r="W27" s="35">
        <f t="shared" si="8"/>
        <v>2912.8</v>
      </c>
      <c r="X27" s="29">
        <v>2513.6</v>
      </c>
      <c r="Y27" s="60">
        <v>6535.1</v>
      </c>
      <c r="Z27" s="60">
        <v>552.8</v>
      </c>
      <c r="AA27" s="70"/>
      <c r="AB27" s="72">
        <f t="shared" si="0"/>
        <v>7087.900000000001</v>
      </c>
      <c r="AC27" s="62">
        <f t="shared" si="1"/>
        <v>0.7797555528663682</v>
      </c>
      <c r="AD27" s="58">
        <v>2412</v>
      </c>
      <c r="AE27" s="73">
        <f t="shared" si="2"/>
        <v>0.06081475043729854</v>
      </c>
      <c r="AF27" s="22"/>
      <c r="AG27" s="82"/>
      <c r="AH27" s="82"/>
      <c r="AI27" s="22">
        <f t="shared" si="3"/>
        <v>3.7686152570480926</v>
      </c>
      <c r="AJ27" s="82"/>
      <c r="AK27" s="76">
        <f t="shared" si="12"/>
        <v>0.0906664661880239</v>
      </c>
      <c r="AL27" s="76"/>
      <c r="AM27" s="76"/>
      <c r="AN27" s="76"/>
      <c r="AO27" s="76">
        <f t="shared" si="9"/>
        <v>0.06451914098972922</v>
      </c>
      <c r="AP27" s="76">
        <f t="shared" si="10"/>
        <v>0.05706725094799226</v>
      </c>
      <c r="AQ27" s="76">
        <f t="shared" si="11"/>
        <v>0.10250577025966652</v>
      </c>
    </row>
    <row r="28" spans="1:43" ht="15.75" customHeight="1">
      <c r="A28" s="20">
        <v>4</v>
      </c>
      <c r="B28" s="16" t="s">
        <v>32</v>
      </c>
      <c r="C28" s="58">
        <v>621</v>
      </c>
      <c r="D28" s="68">
        <f>C28/C32</f>
        <v>0.02311471748678627</v>
      </c>
      <c r="E28" s="62">
        <f t="shared" si="4"/>
        <v>0.034617596147200023</v>
      </c>
      <c r="F28">
        <v>120</v>
      </c>
      <c r="G28" s="21">
        <f t="shared" si="5"/>
        <v>3466.4451999999997</v>
      </c>
      <c r="H28" s="43">
        <v>111.4</v>
      </c>
      <c r="I28" s="35">
        <v>170.8452</v>
      </c>
      <c r="J28" s="21"/>
      <c r="K28" s="21"/>
      <c r="L28" s="43">
        <v>1457</v>
      </c>
      <c r="M28" s="46">
        <v>1756.1</v>
      </c>
      <c r="N28" s="42">
        <v>28.9</v>
      </c>
      <c r="O28" s="21">
        <f t="shared" si="6"/>
        <v>2992.5</v>
      </c>
      <c r="P28" s="42">
        <v>28.9</v>
      </c>
      <c r="Q28" s="36">
        <v>83</v>
      </c>
      <c r="R28" s="37">
        <v>12</v>
      </c>
      <c r="S28" s="36">
        <f>678-469</f>
        <v>209</v>
      </c>
      <c r="T28" s="35">
        <f t="shared" si="7"/>
        <v>304</v>
      </c>
      <c r="U28" s="31">
        <v>1021.6</v>
      </c>
      <c r="V28" s="32">
        <v>489</v>
      </c>
      <c r="W28" s="35">
        <f t="shared" si="8"/>
        <v>1510.6</v>
      </c>
      <c r="X28" s="29">
        <v>1149</v>
      </c>
      <c r="Y28" s="60">
        <v>2163.7</v>
      </c>
      <c r="Z28" s="60">
        <v>131.6</v>
      </c>
      <c r="AA28" s="70"/>
      <c r="AB28" s="72">
        <f t="shared" si="0"/>
        <v>2295.2999999999997</v>
      </c>
      <c r="AC28" s="62">
        <f t="shared" si="1"/>
        <v>0.767017543859649</v>
      </c>
      <c r="AD28" s="58">
        <v>615</v>
      </c>
      <c r="AE28" s="73">
        <f t="shared" si="2"/>
        <v>0.0439766081871345</v>
      </c>
      <c r="AF28" s="22"/>
      <c r="AG28" s="82"/>
      <c r="AH28" s="82"/>
      <c r="AI28" s="22">
        <f t="shared" si="3"/>
        <v>4.865853658536586</v>
      </c>
      <c r="AJ28" s="82"/>
      <c r="AK28" s="76">
        <f t="shared" si="12"/>
        <v>0.02311769349321505</v>
      </c>
      <c r="AL28" s="76"/>
      <c r="AM28" s="76"/>
      <c r="AN28" s="76"/>
      <c r="AO28" s="76">
        <f t="shared" si="9"/>
        <v>0.015359477124183006</v>
      </c>
      <c r="AP28" s="76">
        <f t="shared" si="10"/>
        <v>0.018787197709751135</v>
      </c>
      <c r="AQ28" s="76">
        <f t="shared" si="11"/>
        <v>0.01889987479019373</v>
      </c>
    </row>
    <row r="29" spans="1:43" ht="15.75" customHeight="1">
      <c r="A29" s="20">
        <v>4</v>
      </c>
      <c r="B29" s="16" t="s">
        <v>33</v>
      </c>
      <c r="C29" s="58">
        <v>626</v>
      </c>
      <c r="D29" s="68">
        <f>C29/C32</f>
        <v>0.02330082632323383</v>
      </c>
      <c r="E29" s="62">
        <f t="shared" si="4"/>
        <v>0.04966880338432792</v>
      </c>
      <c r="F29">
        <v>190.4</v>
      </c>
      <c r="G29" s="21">
        <f t="shared" si="5"/>
        <v>3833.3921299999997</v>
      </c>
      <c r="H29" s="43">
        <v>414.8</v>
      </c>
      <c r="I29" s="35">
        <v>259.09213</v>
      </c>
      <c r="J29" s="21"/>
      <c r="K29" s="21"/>
      <c r="L29" s="43">
        <v>1359</v>
      </c>
      <c r="M29" s="46">
        <v>1978.4</v>
      </c>
      <c r="N29" s="42">
        <v>177.9</v>
      </c>
      <c r="O29" s="21">
        <f t="shared" si="6"/>
        <v>3418.3999999999996</v>
      </c>
      <c r="P29" s="42">
        <v>177.9</v>
      </c>
      <c r="Q29" s="36">
        <v>160</v>
      </c>
      <c r="R29" s="37">
        <v>30</v>
      </c>
      <c r="S29" s="36">
        <f>366-293.1</f>
        <v>72.89999999999998</v>
      </c>
      <c r="T29" s="35">
        <f t="shared" si="7"/>
        <v>262.9</v>
      </c>
      <c r="U29" s="31">
        <v>855.5</v>
      </c>
      <c r="V29" s="32">
        <v>528</v>
      </c>
      <c r="W29" s="35">
        <f t="shared" si="8"/>
        <v>1383.5</v>
      </c>
      <c r="X29" s="29">
        <v>1594.1</v>
      </c>
      <c r="Y29" s="60">
        <v>2482.9</v>
      </c>
      <c r="Z29" s="60">
        <v>136.9</v>
      </c>
      <c r="AA29" s="70"/>
      <c r="AB29" s="72">
        <f t="shared" si="0"/>
        <v>2619.8</v>
      </c>
      <c r="AC29" s="62">
        <f t="shared" si="1"/>
        <v>0.7663819330681022</v>
      </c>
      <c r="AD29" s="58">
        <v>618</v>
      </c>
      <c r="AE29" s="73">
        <f t="shared" si="2"/>
        <v>0.04004797566112802</v>
      </c>
      <c r="AF29" s="22"/>
      <c r="AG29" s="82"/>
      <c r="AH29" s="82"/>
      <c r="AI29" s="22">
        <f t="shared" si="3"/>
        <v>5.531391585760518</v>
      </c>
      <c r="AJ29" s="82"/>
      <c r="AK29" s="76">
        <f t="shared" si="12"/>
        <v>0.02323046272976732</v>
      </c>
      <c r="AL29" s="76"/>
      <c r="AM29" s="76"/>
      <c r="AN29" s="76"/>
      <c r="AO29" s="76">
        <f t="shared" si="9"/>
        <v>0.015978057889822598</v>
      </c>
      <c r="AP29" s="76">
        <f t="shared" si="10"/>
        <v>0.021461038145702015</v>
      </c>
      <c r="AQ29" s="76">
        <f t="shared" si="11"/>
        <v>0.017295420463055464</v>
      </c>
    </row>
    <row r="30" spans="1:43" ht="15.75" customHeight="1">
      <c r="A30" s="20">
        <v>4</v>
      </c>
      <c r="B30" s="16" t="s">
        <v>34</v>
      </c>
      <c r="C30" s="58">
        <v>419</v>
      </c>
      <c r="D30" s="68">
        <f>C30/C32</f>
        <v>0.01559592049430507</v>
      </c>
      <c r="E30" s="62">
        <f t="shared" si="4"/>
        <v>0.07284196179059872</v>
      </c>
      <c r="F30">
        <v>128.5</v>
      </c>
      <c r="G30" s="21">
        <f t="shared" si="5"/>
        <v>1764.09307</v>
      </c>
      <c r="H30" s="43">
        <v>140.5</v>
      </c>
      <c r="I30" s="35">
        <v>158.49307000000002</v>
      </c>
      <c r="J30" s="21"/>
      <c r="K30" s="21"/>
      <c r="L30" s="43">
        <v>1075</v>
      </c>
      <c r="M30" s="46">
        <v>542.6</v>
      </c>
      <c r="N30" s="42">
        <v>152.5</v>
      </c>
      <c r="O30" s="21">
        <f t="shared" si="6"/>
        <v>1734.5</v>
      </c>
      <c r="P30" s="42">
        <v>152.5</v>
      </c>
      <c r="Q30" s="36">
        <v>83</v>
      </c>
      <c r="R30" s="37">
        <v>16</v>
      </c>
      <c r="S30" s="36">
        <f>403-351.7</f>
        <v>51.30000000000001</v>
      </c>
      <c r="T30" s="35">
        <f t="shared" si="7"/>
        <v>150.3</v>
      </c>
      <c r="U30" s="31">
        <v>835.2</v>
      </c>
      <c r="V30" s="32">
        <v>223</v>
      </c>
      <c r="W30" s="35">
        <f t="shared" si="8"/>
        <v>1058.2</v>
      </c>
      <c r="X30" s="29">
        <v>373.5</v>
      </c>
      <c r="Y30" s="60">
        <v>1147.5</v>
      </c>
      <c r="Z30" s="60">
        <v>188.7</v>
      </c>
      <c r="AA30" s="69">
        <v>78.7</v>
      </c>
      <c r="AB30" s="72">
        <f t="shared" si="0"/>
        <v>1414.9</v>
      </c>
      <c r="AC30" s="62">
        <f t="shared" si="1"/>
        <v>0.8157394061689248</v>
      </c>
      <c r="AD30" s="58">
        <v>422</v>
      </c>
      <c r="AE30" s="73">
        <f t="shared" si="2"/>
        <v>0.10879215912366676</v>
      </c>
      <c r="AF30" s="22"/>
      <c r="AG30" s="82"/>
      <c r="AH30" s="82"/>
      <c r="AI30" s="22">
        <f t="shared" si="3"/>
        <v>4.110189573459715</v>
      </c>
      <c r="AJ30" s="82"/>
      <c r="AK30" s="76">
        <f t="shared" si="12"/>
        <v>0.01586287260835244</v>
      </c>
      <c r="AL30" s="76"/>
      <c r="AM30" s="76"/>
      <c r="AN30" s="76"/>
      <c r="AO30" s="76">
        <f t="shared" si="9"/>
        <v>0.022023809523809522</v>
      </c>
      <c r="AP30" s="76">
        <f t="shared" si="10"/>
        <v>0.010889354863011978</v>
      </c>
      <c r="AQ30" s="76">
        <f t="shared" si="11"/>
        <v>0.03208278995604126</v>
      </c>
    </row>
    <row r="31" spans="1:43" ht="15.75" customHeight="1">
      <c r="A31" s="20">
        <v>4</v>
      </c>
      <c r="B31" s="16" t="s">
        <v>35</v>
      </c>
      <c r="C31" s="58">
        <v>2349</v>
      </c>
      <c r="D31" s="68">
        <f>C31/C32</f>
        <v>0.08743393136306112</v>
      </c>
      <c r="E31" s="62">
        <f t="shared" si="4"/>
        <v>0.08339043211676699</v>
      </c>
      <c r="F31">
        <v>673.7</v>
      </c>
      <c r="G31" s="21">
        <f t="shared" si="5"/>
        <v>8078.86448</v>
      </c>
      <c r="H31" s="43">
        <v>315.5</v>
      </c>
      <c r="I31" s="35">
        <v>1428.16448</v>
      </c>
      <c r="J31" s="21"/>
      <c r="K31" s="21"/>
      <c r="L31" s="43">
        <v>3554</v>
      </c>
      <c r="M31" s="46">
        <v>3008.1</v>
      </c>
      <c r="N31" s="42">
        <v>226.9</v>
      </c>
      <c r="O31" s="21">
        <f t="shared" si="6"/>
        <v>7460</v>
      </c>
      <c r="P31" s="42">
        <v>226.9</v>
      </c>
      <c r="Q31" s="40">
        <v>830</v>
      </c>
      <c r="R31" s="41">
        <v>305</v>
      </c>
      <c r="S31" s="36">
        <f>1275-1113.7</f>
        <v>161.29999999999995</v>
      </c>
      <c r="T31" s="35">
        <f t="shared" si="7"/>
        <v>1296.3</v>
      </c>
      <c r="U31" s="31">
        <v>2257.6</v>
      </c>
      <c r="V31" s="32">
        <v>1241</v>
      </c>
      <c r="W31" s="35">
        <f t="shared" si="8"/>
        <v>3498.6</v>
      </c>
      <c r="X31" s="30">
        <v>2438.2</v>
      </c>
      <c r="Y31" s="60">
        <v>5410.3</v>
      </c>
      <c r="Z31" s="60">
        <v>367.6</v>
      </c>
      <c r="AA31" s="58"/>
      <c r="AB31" s="72">
        <f t="shared" si="0"/>
        <v>5777.900000000001</v>
      </c>
      <c r="AC31" s="62">
        <f t="shared" si="1"/>
        <v>0.7745174262734585</v>
      </c>
      <c r="AD31" s="58">
        <v>2308</v>
      </c>
      <c r="AE31" s="73">
        <f t="shared" si="2"/>
        <v>0.04927613941018767</v>
      </c>
      <c r="AF31" s="22"/>
      <c r="AG31" s="82"/>
      <c r="AH31" s="82"/>
      <c r="AI31" s="22">
        <f t="shared" si="3"/>
        <v>3.2322357019064123</v>
      </c>
      <c r="AJ31" s="82"/>
      <c r="AK31" s="76">
        <f t="shared" si="12"/>
        <v>0.08675713265421194</v>
      </c>
      <c r="AL31" s="76"/>
      <c r="AM31" s="76"/>
      <c r="AN31" s="76"/>
      <c r="AO31" s="76">
        <f t="shared" si="9"/>
        <v>0.042903828197945845</v>
      </c>
      <c r="AP31" s="76">
        <f t="shared" si="10"/>
        <v>0.04683458476683157</v>
      </c>
      <c r="AQ31" s="76">
        <f t="shared" si="11"/>
        <v>0.07947573642157689</v>
      </c>
    </row>
    <row r="32" spans="1:36" s="25" customFormat="1" ht="12.75">
      <c r="A32" s="23"/>
      <c r="B32" s="24"/>
      <c r="C32" s="24">
        <f>SUM(C8:C31)</f>
        <v>26866</v>
      </c>
      <c r="D32" s="24"/>
      <c r="E32" s="63"/>
      <c r="F32" s="24"/>
      <c r="G32" s="23">
        <f>SUM(G8:G31)</f>
        <v>139248.05935999998</v>
      </c>
      <c r="H32" s="23">
        <f>SUM(H8:H31)</f>
        <v>17693.809999999998</v>
      </c>
      <c r="I32" s="23">
        <f>SUM(I8:I31)</f>
        <v>58547.54936</v>
      </c>
      <c r="J32" s="23"/>
      <c r="K32" s="23"/>
      <c r="L32" s="47">
        <f>SUM(L8:L31)</f>
        <v>41579</v>
      </c>
      <c r="M32" s="23">
        <f aca="true" t="shared" si="13" ref="M32:AF32">SUM(M8:M31)</f>
        <v>45486.9</v>
      </c>
      <c r="N32" s="23">
        <f t="shared" si="13"/>
        <v>24059.200000000004</v>
      </c>
      <c r="O32" s="23">
        <f t="shared" si="13"/>
        <v>159283.99999999997</v>
      </c>
      <c r="P32" s="23">
        <f t="shared" si="13"/>
        <v>24059.200000000004</v>
      </c>
      <c r="Q32" s="23">
        <f t="shared" si="13"/>
        <v>25471</v>
      </c>
      <c r="R32" s="23">
        <f t="shared" si="13"/>
        <v>3982</v>
      </c>
      <c r="S32" s="23">
        <f t="shared" si="13"/>
        <v>29629.999999999993</v>
      </c>
      <c r="T32" s="23">
        <f t="shared" si="13"/>
        <v>59083.00000000001</v>
      </c>
      <c r="U32" s="23">
        <f t="shared" si="13"/>
        <v>28665.299999999996</v>
      </c>
      <c r="V32" s="23">
        <f t="shared" si="13"/>
        <v>11500</v>
      </c>
      <c r="W32" s="23">
        <f t="shared" si="13"/>
        <v>40165.299999999996</v>
      </c>
      <c r="X32" s="23">
        <f t="shared" si="13"/>
        <v>35976.5</v>
      </c>
      <c r="Y32" s="23">
        <f t="shared" si="13"/>
        <v>81980.40000000001</v>
      </c>
      <c r="Z32" s="23">
        <f t="shared" si="13"/>
        <v>8567.8</v>
      </c>
      <c r="AA32" s="23">
        <f t="shared" si="13"/>
        <v>1706.9</v>
      </c>
      <c r="AB32" s="23">
        <f>SUM(AB8:AB31)</f>
        <v>92255.1</v>
      </c>
      <c r="AC32" s="23">
        <f>SUM(AC8:AC31)</f>
        <v>17.152602703502055</v>
      </c>
      <c r="AD32" s="21">
        <f>SUM(AD8:AD31)</f>
        <v>26603</v>
      </c>
      <c r="AE32" s="21">
        <f>SUM(AE8:AE31)</f>
        <v>1.4606412629191492</v>
      </c>
      <c r="AF32" s="86">
        <f t="shared" si="13"/>
        <v>0.652</v>
      </c>
      <c r="AG32" s="88"/>
      <c r="AH32" s="85"/>
      <c r="AI32" s="22">
        <f t="shared" si="3"/>
        <v>5.98744502499718</v>
      </c>
      <c r="AJ32" s="85"/>
    </row>
    <row r="33" spans="1:3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7"/>
      <c r="AA33" s="17"/>
      <c r="AB33" s="17"/>
      <c r="AC33" s="17"/>
      <c r="AD33" s="17"/>
      <c r="AE33" s="17"/>
    </row>
    <row r="34" spans="16:23" ht="12.75">
      <c r="P34" s="18"/>
      <c r="Q34" s="18"/>
      <c r="R34" s="18"/>
      <c r="S34" s="18"/>
      <c r="T34" s="18"/>
      <c r="U34" s="18"/>
      <c r="V34" s="18"/>
      <c r="W34" s="18"/>
    </row>
    <row r="35" spans="1:36" s="9" customFormat="1" ht="38.25" customHeight="1">
      <c r="A35" s="268" t="s">
        <v>40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"/>
      <c r="AH35" s="2"/>
      <c r="AI35" s="2"/>
      <c r="AJ35" s="2"/>
    </row>
    <row r="36" spans="1:36" s="9" customFormat="1" ht="3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="9" customFormat="1" ht="12.75"/>
    <row r="38" s="9" customFormat="1" ht="12.75"/>
    <row r="39" s="9" customFormat="1" ht="12.75"/>
    <row r="40" s="9" customFormat="1" ht="12.75"/>
  </sheetData>
  <sheetProtection/>
  <mergeCells count="20">
    <mergeCell ref="A1:AD1"/>
    <mergeCell ref="A4:A6"/>
    <mergeCell ref="B4:B6"/>
    <mergeCell ref="G4:N4"/>
    <mergeCell ref="O4:X4"/>
    <mergeCell ref="AD4:AD6"/>
    <mergeCell ref="I5:I6"/>
    <mergeCell ref="P5:P6"/>
    <mergeCell ref="M5:M6"/>
    <mergeCell ref="B2:W2"/>
    <mergeCell ref="L5:L6"/>
    <mergeCell ref="O5:O6"/>
    <mergeCell ref="N5:N6"/>
    <mergeCell ref="A35:AF35"/>
    <mergeCell ref="T5:T6"/>
    <mergeCell ref="W5:W6"/>
    <mergeCell ref="X5:X6"/>
    <mergeCell ref="AF4:AF6"/>
    <mergeCell ref="G5:G6"/>
    <mergeCell ref="H5:H6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Боровская</dc:creator>
  <cp:keywords/>
  <dc:description/>
  <cp:lastModifiedBy>Татьяна Боровская</cp:lastModifiedBy>
  <cp:lastPrinted>2023-09-22T05:15:06Z</cp:lastPrinted>
  <dcterms:created xsi:type="dcterms:W3CDTF">2014-02-18T05:11:27Z</dcterms:created>
  <dcterms:modified xsi:type="dcterms:W3CDTF">2023-09-22T08:27:43Z</dcterms:modified>
  <cp:category/>
  <cp:version/>
  <cp:contentType/>
  <cp:contentStatus/>
</cp:coreProperties>
</file>